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vardev\Desktop\"/>
    </mc:Choice>
  </mc:AlternateContent>
  <bookViews>
    <workbookView xWindow="0" yWindow="0" windowWidth="28800" windowHeight="11275" activeTab="1"/>
  </bookViews>
  <sheets>
    <sheet name="финансови " sheetId="1" r:id="rId1"/>
    <sheet name="показатели" sheetId="2" r:id="rId2"/>
    <sheet name="заети лица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5" i="1" l="1"/>
  <c r="AN15" i="1" s="1"/>
  <c r="AE15" i="1"/>
  <c r="AG15" i="1" s="1"/>
  <c r="A22" i="1" l="1"/>
  <c r="A21" i="1"/>
  <c r="AN20" i="1"/>
  <c r="AG20" i="1"/>
  <c r="Z20" i="1"/>
  <c r="S20" i="1"/>
  <c r="L20" i="1"/>
  <c r="E20" i="1"/>
  <c r="AN17" i="1" l="1"/>
  <c r="AG17" i="1"/>
  <c r="AN16" i="1" l="1"/>
  <c r="AG16" i="1"/>
  <c r="Y15" i="1" l="1"/>
  <c r="X15" i="1"/>
  <c r="Z15" i="1" s="1"/>
  <c r="R15" i="1"/>
  <c r="Q15" i="1"/>
  <c r="S15" i="1" s="1"/>
  <c r="K15" i="1"/>
  <c r="J15" i="1"/>
  <c r="L15" i="1" s="1"/>
  <c r="F15" i="1"/>
  <c r="D15" i="1"/>
  <c r="C15" i="1"/>
  <c r="E15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J11" i="2" l="1"/>
  <c r="AD11" i="2"/>
  <c r="X11" i="2"/>
  <c r="R11" i="2"/>
  <c r="L11" i="2"/>
  <c r="F11" i="2"/>
  <c r="F10" i="1"/>
  <c r="K9" i="1"/>
  <c r="D9" i="1"/>
  <c r="AL8" i="1" l="1"/>
  <c r="AN8" i="1" s="1"/>
  <c r="AF8" i="1"/>
  <c r="AE8" i="1"/>
  <c r="X8" i="1"/>
  <c r="R8" i="1"/>
  <c r="Q8" i="1"/>
  <c r="J8" i="1"/>
  <c r="D8" i="1"/>
  <c r="C8" i="1"/>
  <c r="AP7" i="1" l="1"/>
  <c r="AO7" i="1"/>
  <c r="AM7" i="1"/>
  <c r="AL7" i="1"/>
  <c r="AI7" i="1"/>
  <c r="AH7" i="1"/>
  <c r="AF7" i="1"/>
  <c r="AE7" i="1"/>
  <c r="AB7" i="1"/>
  <c r="AA7" i="1"/>
  <c r="Y7" i="1"/>
  <c r="X7" i="1"/>
  <c r="U7" i="1"/>
  <c r="T7" i="1"/>
  <c r="R7" i="1"/>
  <c r="Q7" i="1"/>
  <c r="N7" i="1"/>
  <c r="M7" i="1"/>
  <c r="K7" i="1"/>
  <c r="J7" i="1"/>
  <c r="G7" i="1"/>
  <c r="F7" i="1"/>
  <c r="D7" i="1"/>
  <c r="C7" i="1"/>
</calcChain>
</file>

<file path=xl/sharedStrings.xml><?xml version="1.0" encoding="utf-8"?>
<sst xmlns="http://schemas.openxmlformats.org/spreadsheetml/2006/main" count="162" uniqueCount="50">
  <si>
    <t>Приходи</t>
  </si>
  <si>
    <t>Разходи</t>
  </si>
  <si>
    <t>Задължения</t>
  </si>
  <si>
    <t>Финансов резултат</t>
  </si>
  <si>
    <t>Публично предприятие</t>
  </si>
  <si>
    <t>2020
(хил. лв.)</t>
  </si>
  <si>
    <t>2021
(хил. лв.)</t>
  </si>
  <si>
    <t>2022
(хил. лв.)</t>
  </si>
  <si>
    <t>2023
(хил. лв.)</t>
  </si>
  <si>
    <t>2024
(хил. лв.)</t>
  </si>
  <si>
    <t>2025
(хил. лв.)</t>
  </si>
  <si>
    <t>на приходите от продажби</t>
  </si>
  <si>
    <t>на собствения  капитал</t>
  </si>
  <si>
    <t>Коефициенти на ликвидност</t>
  </si>
  <si>
    <t>Коефициенти на рентабилност</t>
  </si>
  <si>
    <t>обща ликвидност</t>
  </si>
  <si>
    <t>бърза ликвидност</t>
  </si>
  <si>
    <t>брой заети лица към 31.12.2025 г.</t>
  </si>
  <si>
    <t>незаети щатни бройки към 31.12.2025 г.</t>
  </si>
  <si>
    <t>Вземания</t>
  </si>
  <si>
    <t>Записан капитал</t>
  </si>
  <si>
    <t>Коефициент на задлъжнялост</t>
  </si>
  <si>
    <t>Коефициент на ефективност на разходите</t>
  </si>
  <si>
    <t>Собствен капитал</t>
  </si>
  <si>
    <t>ДП НКЖИ</t>
  </si>
  <si>
    <t>Холдинг БДЖ ЕАД</t>
  </si>
  <si>
    <t>"БДЖ - Пътнически превози" ЕООД</t>
  </si>
  <si>
    <t>"БДЖ-Товарни превози" ЕООД</t>
  </si>
  <si>
    <t>ДП РВД</t>
  </si>
  <si>
    <t>Държавно предприятие "Пристанищна инфраструктура"</t>
  </si>
  <si>
    <t>–0,01</t>
  </si>
  <si>
    <t>"Пристанище Варна" ЕАД</t>
  </si>
  <si>
    <t>"Пристанище Бургас" ЕАД</t>
  </si>
  <si>
    <t>Пристанищен комплекс-Русе ЕАД</t>
  </si>
  <si>
    <t>Пристанище Видин ЕООД</t>
  </si>
  <si>
    <t>Летище София ЕАД</t>
  </si>
  <si>
    <t>ЛЕТИЩЕ ГОРНА ОРЯХОВИЦА ЕООД</t>
  </si>
  <si>
    <t>ДППИ</t>
  </si>
  <si>
    <t>Пристанище Варна ЕАД</t>
  </si>
  <si>
    <t>СЪОБЩИТЕЛНО СТРОИТЕЛСТВО И ВЪЗСТАНОВЯВАНЕ ЕАД</t>
  </si>
  <si>
    <t>ССВ ЕАД</t>
  </si>
  <si>
    <t>ТСВ ЕАД</t>
  </si>
  <si>
    <t>БМКЦ ЕООД</t>
  </si>
  <si>
    <t>България Хели Мед Сървиз ЕАД</t>
  </si>
  <si>
    <t>МБАЛ ВАРНА ЕООД</t>
  </si>
  <si>
    <t>ТДКЦ ЕООД БУРГАС</t>
  </si>
  <si>
    <t>ЛЕТИЩЕ ПЛОВДИВ ЕАД</t>
  </si>
  <si>
    <t>ЛЕТИЩЕ СОФИЯ ЕАД</t>
  </si>
  <si>
    <t>Български пощи ЕАД</t>
  </si>
  <si>
    <t>Пристанище Бургас 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</si>
</sst>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horizontal="right" vertical="center" wrapText="1"/>
    </xf>
    <xf numFmtId="2" fontId="0" fillId="0" borderId="1" xfId="0" applyNumberFormat="1" applyFont="1" applyFill="1" applyBorder="1" applyAlignment="1">
      <alignment horizontal="right" vertical="center" wrapText="1"/>
    </xf>
    <xf numFmtId="2" fontId="0" fillId="0" borderId="9" xfId="0" applyNumberFormat="1" applyFont="1" applyFill="1" applyBorder="1" applyAlignment="1">
      <alignment horizontal="right" vertical="center" wrapText="1"/>
    </xf>
    <xf numFmtId="2" fontId="0" fillId="0" borderId="8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9" xfId="0" applyNumberFormat="1" applyFont="1" applyBorder="1" applyAlignment="1">
      <alignment horizontal="right" vertical="center" wrapText="1"/>
    </xf>
    <xf numFmtId="2" fontId="0" fillId="0" borderId="15" xfId="0" applyNumberFormat="1" applyFont="1" applyBorder="1" applyAlignment="1">
      <alignment horizontal="right" vertical="center" wrapText="1"/>
    </xf>
    <xf numFmtId="2" fontId="0" fillId="0" borderId="3" xfId="0" applyNumberFormat="1" applyFont="1" applyBorder="1" applyAlignment="1">
      <alignment horizontal="right" vertical="center" wrapText="1"/>
    </xf>
    <xf numFmtId="2" fontId="0" fillId="0" borderId="16" xfId="0" applyNumberFormat="1" applyFont="1" applyBorder="1" applyAlignment="1">
      <alignment horizontal="right" vertical="center" wrapText="1"/>
    </xf>
    <xf numFmtId="2" fontId="0" fillId="0" borderId="8" xfId="1" applyNumberFormat="1" applyFont="1" applyFill="1" applyBorder="1" applyAlignment="1">
      <alignment horizontal="right" vertical="center" wrapText="1"/>
    </xf>
    <xf numFmtId="2" fontId="0" fillId="0" borderId="1" xfId="1" applyNumberFormat="1" applyFont="1" applyFill="1" applyBorder="1" applyAlignment="1">
      <alignment horizontal="right" vertical="center" wrapText="1"/>
    </xf>
    <xf numFmtId="2" fontId="0" fillId="0" borderId="9" xfId="1" applyNumberFormat="1" applyFont="1" applyFill="1" applyBorder="1" applyAlignment="1">
      <alignment horizontal="right" vertical="center" wrapText="1"/>
    </xf>
    <xf numFmtId="2" fontId="0" fillId="0" borderId="0" xfId="0" applyNumberFormat="1" applyFont="1" applyFill="1" applyAlignment="1">
      <alignment horizontal="right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12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top" wrapText="1"/>
    </xf>
    <xf numFmtId="0" fontId="0" fillId="0" borderId="14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0" xfId="0" applyFont="1" applyFill="1" applyAlignment="1">
      <alignment horizontal="right" vertical="center" wrapText="1" indent="1"/>
    </xf>
    <xf numFmtId="0" fontId="0" fillId="0" borderId="0" xfId="0" applyFont="1" applyAlignment="1">
      <alignment horizontal="right" vertical="top" wrapText="1"/>
    </xf>
    <xf numFmtId="0" fontId="0" fillId="0" borderId="10" xfId="0" applyFont="1" applyBorder="1" applyAlignment="1">
      <alignment horizontal="right" vertical="top" wrapText="1"/>
    </xf>
    <xf numFmtId="3" fontId="0" fillId="0" borderId="3" xfId="0" applyNumberFormat="1" applyFont="1" applyBorder="1" applyAlignment="1">
      <alignment horizontal="right" vertical="top" wrapText="1"/>
    </xf>
    <xf numFmtId="3" fontId="0" fillId="0" borderId="16" xfId="0" applyNumberFormat="1" applyFont="1" applyBorder="1" applyAlignment="1">
      <alignment horizontal="right" vertical="top" wrapText="1"/>
    </xf>
    <xf numFmtId="3" fontId="0" fillId="0" borderId="15" xfId="0" applyNumberFormat="1" applyFont="1" applyBorder="1" applyAlignment="1">
      <alignment horizontal="right" vertical="top" wrapText="1"/>
    </xf>
    <xf numFmtId="3" fontId="0" fillId="0" borderId="15" xfId="0" applyNumberFormat="1" applyFont="1" applyBorder="1" applyAlignment="1">
      <alignment horizontal="right" wrapText="1"/>
    </xf>
    <xf numFmtId="3" fontId="0" fillId="0" borderId="3" xfId="0" applyNumberFormat="1" applyFont="1" applyBorder="1" applyAlignment="1">
      <alignment horizontal="right" wrapText="1"/>
    </xf>
    <xf numFmtId="3" fontId="0" fillId="0" borderId="16" xfId="0" applyNumberFormat="1" applyFont="1" applyBorder="1" applyAlignment="1">
      <alignment horizontal="right" wrapText="1"/>
    </xf>
    <xf numFmtId="0" fontId="0" fillId="0" borderId="0" xfId="0" applyFont="1" applyAlignment="1">
      <alignment horizontal="right" wrapText="1"/>
    </xf>
    <xf numFmtId="0" fontId="0" fillId="0" borderId="10" xfId="0" applyFont="1" applyBorder="1" applyAlignment="1">
      <alignment horizontal="center" wrapText="1"/>
    </xf>
    <xf numFmtId="3" fontId="0" fillId="0" borderId="15" xfId="0" applyNumberFormat="1" applyFont="1" applyFill="1" applyBorder="1" applyAlignment="1">
      <alignment horizontal="right" vertical="center" wrapText="1"/>
    </xf>
    <xf numFmtId="3" fontId="0" fillId="0" borderId="3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Fill="1" applyBorder="1" applyAlignment="1">
      <alignment horizontal="right" vertical="center" wrapText="1"/>
    </xf>
    <xf numFmtId="3" fontId="0" fillId="0" borderId="16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right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2" fontId="0" fillId="0" borderId="8" xfId="0" applyNumberFormat="1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center" wrapText="1"/>
    </xf>
    <xf numFmtId="2" fontId="0" fillId="0" borderId="9" xfId="0" applyNumberFormat="1" applyBorder="1" applyAlignment="1">
      <alignment horizontal="right" vertical="center" wrapText="1"/>
    </xf>
    <xf numFmtId="0" fontId="0" fillId="0" borderId="25" xfId="0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4" fontId="0" fillId="0" borderId="0" xfId="0" applyNumberFormat="1" applyAlignment="1">
      <alignment wrapText="1"/>
    </xf>
    <xf numFmtId="3" fontId="0" fillId="0" borderId="15" xfId="0" applyNumberFormat="1" applyBorder="1" applyAlignment="1">
      <alignment wrapText="1"/>
    </xf>
    <xf numFmtId="3" fontId="0" fillId="0" borderId="3" xfId="0" applyNumberFormat="1" applyBorder="1" applyAlignment="1">
      <alignment wrapText="1"/>
    </xf>
    <xf numFmtId="3" fontId="0" fillId="0" borderId="16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4" fontId="0" fillId="0" borderId="10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3" fontId="0" fillId="0" borderId="1" xfId="0" applyNumberFormat="1" applyFont="1" applyBorder="1" applyAlignment="1">
      <alignment horizontal="center" vertical="top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8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9" xfId="0" applyFill="1" applyBorder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3" fontId="0" fillId="0" borderId="8" xfId="0" applyNumberFormat="1" applyFont="1" applyBorder="1" applyAlignment="1">
      <alignment horizontal="right" vertical="top" wrapText="1"/>
    </xf>
    <xf numFmtId="3" fontId="0" fillId="0" borderId="1" xfId="0" applyNumberFormat="1" applyFont="1" applyBorder="1" applyAlignment="1">
      <alignment horizontal="right" vertical="top" wrapText="1"/>
    </xf>
    <xf numFmtId="3" fontId="0" fillId="0" borderId="9" xfId="0" applyNumberFormat="1" applyFont="1" applyBorder="1" applyAlignment="1">
      <alignment horizontal="right" vertical="top" wrapText="1"/>
    </xf>
    <xf numFmtId="3" fontId="0" fillId="0" borderId="0" xfId="0" applyNumberFormat="1" applyAlignment="1">
      <alignment wrapText="1"/>
    </xf>
    <xf numFmtId="164" fontId="0" fillId="0" borderId="8" xfId="0" applyNumberFormat="1" applyBorder="1" applyAlignment="1">
      <alignment horizontal="right" vertical="center" wrapText="1"/>
    </xf>
    <xf numFmtId="3" fontId="0" fillId="0" borderId="9" xfId="0" applyNumberFormat="1" applyBorder="1" applyAlignment="1">
      <alignment wrapText="1"/>
    </xf>
    <xf numFmtId="3" fontId="0" fillId="0" borderId="8" xfId="0" applyNumberFormat="1" applyBorder="1" applyAlignment="1">
      <alignment wrapText="1"/>
    </xf>
    <xf numFmtId="3" fontId="0" fillId="0" borderId="0" xfId="0" applyNumberFormat="1" applyFont="1" applyBorder="1" applyAlignment="1">
      <alignment horizontal="right" vertical="top" wrapText="1"/>
    </xf>
    <xf numFmtId="3" fontId="0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Border="1" applyAlignment="1">
      <alignment wrapText="1"/>
    </xf>
    <xf numFmtId="0" fontId="0" fillId="0" borderId="11" xfId="0" applyFont="1" applyBorder="1" applyAlignment="1">
      <alignment horizontal="right" vertical="top" wrapText="1"/>
    </xf>
    <xf numFmtId="3" fontId="0" fillId="0" borderId="11" xfId="0" applyNumberFormat="1" applyBorder="1" applyAlignment="1">
      <alignment horizontal="center" wrapText="1"/>
    </xf>
    <xf numFmtId="3" fontId="0" fillId="0" borderId="26" xfId="0" applyNumberFormat="1" applyBorder="1" applyAlignment="1">
      <alignment wrapText="1"/>
    </xf>
    <xf numFmtId="3" fontId="0" fillId="0" borderId="27" xfId="0" applyNumberFormat="1" applyBorder="1" applyAlignment="1">
      <alignment wrapText="1"/>
    </xf>
    <xf numFmtId="3" fontId="3" fillId="0" borderId="27" xfId="0" applyNumberFormat="1" applyFont="1" applyBorder="1" applyAlignment="1">
      <alignment wrapText="1"/>
    </xf>
    <xf numFmtId="3" fontId="0" fillId="0" borderId="28" xfId="0" applyNumberFormat="1" applyBorder="1" applyAlignment="1">
      <alignment wrapText="1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wrapText="1"/>
    </xf>
    <xf numFmtId="0" fontId="0" fillId="0" borderId="15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4" fontId="0" fillId="0" borderId="29" xfId="0" applyNumberFormat="1" applyBorder="1" applyAlignment="1">
      <alignment horizontal="center" wrapText="1"/>
    </xf>
    <xf numFmtId="2" fontId="0" fillId="0" borderId="30" xfId="0" applyNumberFormat="1" applyBorder="1" applyAlignment="1">
      <alignment horizontal="right" vertical="center" wrapText="1"/>
    </xf>
    <xf numFmtId="2" fontId="0" fillId="0" borderId="2" xfId="0" applyNumberFormat="1" applyBorder="1" applyAlignment="1">
      <alignment horizontal="right" vertical="center" wrapText="1"/>
    </xf>
    <xf numFmtId="2" fontId="0" fillId="0" borderId="21" xfId="0" applyNumberFormat="1" applyBorder="1" applyAlignment="1">
      <alignment horizontal="righ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 vertical="center" wrapText="1"/>
    </xf>
    <xf numFmtId="0" fontId="0" fillId="2" borderId="9" xfId="0" applyFill="1" applyBorder="1" applyAlignment="1">
      <alignment horizontal="right" vertical="center" wrapText="1"/>
    </xf>
    <xf numFmtId="0" fontId="0" fillId="0" borderId="8" xfId="0" applyNumberFormat="1" applyBorder="1" applyAlignment="1">
      <alignment horizontal="right" vertical="center" wrapText="1"/>
    </xf>
    <xf numFmtId="2" fontId="0" fillId="0" borderId="0" xfId="0" applyNumberFormat="1" applyAlignment="1">
      <alignment horizontal="right" vertical="center" wrapText="1"/>
    </xf>
    <xf numFmtId="3" fontId="0" fillId="2" borderId="15" xfId="0" applyNumberFormat="1" applyFill="1" applyBorder="1" applyAlignment="1">
      <alignment wrapText="1"/>
    </xf>
    <xf numFmtId="3" fontId="0" fillId="2" borderId="3" xfId="0" applyNumberFormat="1" applyFill="1" applyBorder="1" applyAlignment="1">
      <alignment wrapText="1"/>
    </xf>
    <xf numFmtId="3" fontId="0" fillId="2" borderId="16" xfId="0" applyNumberFormat="1" applyFill="1" applyBorder="1" applyAlignment="1">
      <alignment wrapText="1"/>
    </xf>
    <xf numFmtId="164" fontId="0" fillId="0" borderId="8" xfId="0" applyNumberFormat="1" applyFon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0" borderId="9" xfId="0" applyNumberFormat="1" applyFont="1" applyBorder="1" applyAlignment="1">
      <alignment horizontal="right" vertical="center" wrapText="1"/>
    </xf>
    <xf numFmtId="0" fontId="0" fillId="2" borderId="4" xfId="0" applyFont="1" applyFill="1" applyBorder="1" applyAlignment="1">
      <alignment horizontal="center" vertical="top" wrapText="1"/>
    </xf>
    <xf numFmtId="0" fontId="0" fillId="2" borderId="10" xfId="0" applyFont="1" applyFill="1" applyBorder="1" applyAlignment="1">
      <alignment horizontal="center" vertical="top" wrapText="1"/>
    </xf>
    <xf numFmtId="0" fontId="0" fillId="2" borderId="5" xfId="0" applyFont="1" applyFill="1" applyBorder="1" applyAlignment="1">
      <alignment horizontal="center" vertical="top" wrapText="1"/>
    </xf>
    <xf numFmtId="0" fontId="0" fillId="2" borderId="6" xfId="0" applyFont="1" applyFill="1" applyBorder="1" applyAlignment="1">
      <alignment horizontal="center" vertical="top" wrapText="1"/>
    </xf>
    <xf numFmtId="0" fontId="0" fillId="2" borderId="7" xfId="0" applyFont="1" applyFill="1" applyBorder="1" applyAlignment="1">
      <alignment horizontal="center" vertical="top" wrapText="1"/>
    </xf>
    <xf numFmtId="0" fontId="0" fillId="2" borderId="23" xfId="0" applyFont="1" applyFill="1" applyBorder="1" applyAlignment="1">
      <alignment horizontal="center" vertical="top" wrapText="1"/>
    </xf>
    <xf numFmtId="0" fontId="0" fillId="2" borderId="2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"/>
  <sheetViews>
    <sheetView zoomScale="110" zoomScaleNormal="11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6" sqref="C16:W16"/>
    </sheetView>
  </sheetViews>
  <sheetFormatPr defaultColWidth="9.125" defaultRowHeight="14.3" x14ac:dyDescent="0.25"/>
  <cols>
    <col min="1" max="1" width="4.125" style="34" customWidth="1"/>
    <col min="2" max="2" width="56.625" style="31" customWidth="1"/>
    <col min="3" max="3" width="9.125" style="34" bestFit="1" customWidth="1"/>
    <col min="4" max="4" width="8.625" style="34" bestFit="1" customWidth="1"/>
    <col min="5" max="5" width="10" style="34" bestFit="1" customWidth="1"/>
    <col min="6" max="6" width="12.375" style="34" bestFit="1" customWidth="1"/>
    <col min="7" max="8" width="12.25" style="34" customWidth="1"/>
    <col min="9" max="9" width="14.25" style="34" customWidth="1"/>
    <col min="10" max="10" width="9.125" style="34" bestFit="1" customWidth="1"/>
    <col min="11" max="11" width="8.625" style="34" bestFit="1" customWidth="1"/>
    <col min="12" max="12" width="11.125" style="34" customWidth="1"/>
    <col min="13" max="13" width="14" style="34" customWidth="1"/>
    <col min="14" max="14" width="12" style="34" customWidth="1"/>
    <col min="15" max="15" width="11.25" style="34" customWidth="1"/>
    <col min="16" max="16" width="13.75" style="34" customWidth="1"/>
    <col min="17" max="17" width="9.75" style="34" bestFit="1" customWidth="1"/>
    <col min="18" max="18" width="8.625" style="34" bestFit="1" customWidth="1"/>
    <col min="19" max="22" width="12.625" style="34" customWidth="1"/>
    <col min="23" max="23" width="14.875" style="34" customWidth="1"/>
    <col min="24" max="24" width="9.125" style="34" bestFit="1" customWidth="1"/>
    <col min="25" max="25" width="8.625" style="34" bestFit="1" customWidth="1"/>
    <col min="26" max="26" width="14.25" style="34" customWidth="1"/>
    <col min="27" max="27" width="12.125" style="34" customWidth="1"/>
    <col min="28" max="28" width="12.375" style="34" customWidth="1"/>
    <col min="29" max="29" width="13.875" style="34" customWidth="1"/>
    <col min="30" max="30" width="15.125" style="34" customWidth="1"/>
    <col min="31" max="31" width="10.875" style="34" bestFit="1" customWidth="1"/>
    <col min="32" max="32" width="11.875" style="34" bestFit="1" customWidth="1"/>
    <col min="33" max="33" width="12.375" style="34" customWidth="1"/>
    <col min="34" max="34" width="15.875" style="34" customWidth="1"/>
    <col min="35" max="35" width="11" style="34" customWidth="1"/>
    <col min="36" max="36" width="9" style="34" customWidth="1"/>
    <col min="37" max="37" width="14" style="34" customWidth="1"/>
    <col min="38" max="39" width="11.875" style="34" bestFit="1" customWidth="1"/>
    <col min="40" max="40" width="11.125" style="34" customWidth="1"/>
    <col min="41" max="43" width="14.75" style="34" customWidth="1"/>
    <col min="44" max="44" width="14.625" style="34" customWidth="1"/>
    <col min="45" max="16384" width="9.125" style="34"/>
  </cols>
  <sheetData>
    <row r="1" spans="1:45" s="31" customFormat="1" ht="37.549999999999997" customHeight="1" x14ac:dyDescent="0.25">
      <c r="A1" s="120"/>
      <c r="B1" s="125" t="s">
        <v>4</v>
      </c>
      <c r="C1" s="122" t="s">
        <v>5</v>
      </c>
      <c r="D1" s="123"/>
      <c r="E1" s="123"/>
      <c r="F1" s="123"/>
      <c r="G1" s="123"/>
      <c r="H1" s="123"/>
      <c r="I1" s="124"/>
      <c r="J1" s="122" t="s">
        <v>6</v>
      </c>
      <c r="K1" s="123"/>
      <c r="L1" s="123"/>
      <c r="M1" s="123"/>
      <c r="N1" s="123"/>
      <c r="O1" s="123"/>
      <c r="P1" s="124"/>
      <c r="Q1" s="122" t="s">
        <v>7</v>
      </c>
      <c r="R1" s="123"/>
      <c r="S1" s="123"/>
      <c r="T1" s="123"/>
      <c r="U1" s="123"/>
      <c r="V1" s="123"/>
      <c r="W1" s="124"/>
      <c r="X1" s="122" t="s">
        <v>8</v>
      </c>
      <c r="Y1" s="123"/>
      <c r="Z1" s="123"/>
      <c r="AA1" s="123"/>
      <c r="AB1" s="123"/>
      <c r="AC1" s="123"/>
      <c r="AD1" s="124"/>
      <c r="AE1" s="122" t="s">
        <v>9</v>
      </c>
      <c r="AF1" s="123"/>
      <c r="AG1" s="123"/>
      <c r="AH1" s="123"/>
      <c r="AI1" s="123"/>
      <c r="AJ1" s="123"/>
      <c r="AK1" s="124"/>
      <c r="AL1" s="122" t="s">
        <v>10</v>
      </c>
      <c r="AM1" s="123"/>
      <c r="AN1" s="123"/>
      <c r="AO1" s="123"/>
      <c r="AP1" s="123"/>
      <c r="AQ1" s="123"/>
      <c r="AR1" s="124"/>
    </row>
    <row r="2" spans="1:45" s="31" customFormat="1" ht="29.25" thickBot="1" x14ac:dyDescent="0.3">
      <c r="A2" s="121"/>
      <c r="B2" s="126"/>
      <c r="C2" s="28" t="s">
        <v>0</v>
      </c>
      <c r="D2" s="29" t="s">
        <v>1</v>
      </c>
      <c r="E2" s="29" t="s">
        <v>3</v>
      </c>
      <c r="F2" s="29" t="s">
        <v>2</v>
      </c>
      <c r="G2" s="29" t="s">
        <v>19</v>
      </c>
      <c r="H2" s="29" t="s">
        <v>20</v>
      </c>
      <c r="I2" s="30" t="s">
        <v>23</v>
      </c>
      <c r="J2" s="28" t="s">
        <v>0</v>
      </c>
      <c r="K2" s="29" t="s">
        <v>1</v>
      </c>
      <c r="L2" s="29" t="s">
        <v>3</v>
      </c>
      <c r="M2" s="29" t="s">
        <v>2</v>
      </c>
      <c r="N2" s="29" t="s">
        <v>19</v>
      </c>
      <c r="O2" s="29" t="s">
        <v>20</v>
      </c>
      <c r="P2" s="30" t="s">
        <v>23</v>
      </c>
      <c r="Q2" s="28" t="s">
        <v>0</v>
      </c>
      <c r="R2" s="29" t="s">
        <v>1</v>
      </c>
      <c r="S2" s="29" t="s">
        <v>3</v>
      </c>
      <c r="T2" s="29" t="s">
        <v>2</v>
      </c>
      <c r="U2" s="29" t="s">
        <v>19</v>
      </c>
      <c r="V2" s="29" t="s">
        <v>20</v>
      </c>
      <c r="W2" s="30" t="s">
        <v>23</v>
      </c>
      <c r="X2" s="28" t="s">
        <v>0</v>
      </c>
      <c r="Y2" s="29" t="s">
        <v>1</v>
      </c>
      <c r="Z2" s="29" t="s">
        <v>3</v>
      </c>
      <c r="AA2" s="29" t="s">
        <v>2</v>
      </c>
      <c r="AB2" s="29" t="s">
        <v>19</v>
      </c>
      <c r="AC2" s="29" t="s">
        <v>20</v>
      </c>
      <c r="AD2" s="30" t="s">
        <v>23</v>
      </c>
      <c r="AE2" s="28" t="s">
        <v>0</v>
      </c>
      <c r="AF2" s="29" t="s">
        <v>1</v>
      </c>
      <c r="AG2" s="29" t="s">
        <v>3</v>
      </c>
      <c r="AH2" s="29" t="s">
        <v>2</v>
      </c>
      <c r="AI2" s="29" t="s">
        <v>19</v>
      </c>
      <c r="AJ2" s="29" t="s">
        <v>20</v>
      </c>
      <c r="AK2" s="30" t="s">
        <v>23</v>
      </c>
      <c r="AL2" s="28" t="s">
        <v>0</v>
      </c>
      <c r="AM2" s="29" t="s">
        <v>1</v>
      </c>
      <c r="AN2" s="29" t="s">
        <v>3</v>
      </c>
      <c r="AO2" s="29" t="s">
        <v>2</v>
      </c>
      <c r="AP2" s="29" t="s">
        <v>19</v>
      </c>
      <c r="AQ2" s="29" t="s">
        <v>20</v>
      </c>
      <c r="AR2" s="30" t="s">
        <v>23</v>
      </c>
    </row>
    <row r="3" spans="1:45" x14ac:dyDescent="0.25">
      <c r="A3" s="35">
        <v>1</v>
      </c>
      <c r="B3" s="57" t="s">
        <v>24</v>
      </c>
      <c r="C3" s="88">
        <v>453260</v>
      </c>
      <c r="D3" s="36">
        <v>529387</v>
      </c>
      <c r="E3" s="36">
        <v>-76127</v>
      </c>
      <c r="F3" s="36">
        <v>56151</v>
      </c>
      <c r="G3" s="36">
        <v>113449</v>
      </c>
      <c r="H3" s="36">
        <v>100000</v>
      </c>
      <c r="I3" s="37">
        <v>1275410</v>
      </c>
      <c r="J3" s="88">
        <v>513248</v>
      </c>
      <c r="K3" s="36">
        <v>527688</v>
      </c>
      <c r="L3" s="36">
        <v>-14440</v>
      </c>
      <c r="M3" s="36">
        <v>48624</v>
      </c>
      <c r="N3" s="36">
        <v>113995</v>
      </c>
      <c r="O3" s="36">
        <v>100000</v>
      </c>
      <c r="P3" s="37">
        <v>1255109</v>
      </c>
      <c r="Q3" s="88">
        <v>576472</v>
      </c>
      <c r="R3" s="36">
        <v>561238</v>
      </c>
      <c r="S3" s="36">
        <v>15234</v>
      </c>
      <c r="T3" s="36">
        <v>59473</v>
      </c>
      <c r="U3" s="36">
        <v>119546</v>
      </c>
      <c r="V3" s="36">
        <v>100000</v>
      </c>
      <c r="W3" s="37">
        <v>1273711</v>
      </c>
      <c r="X3" s="88">
        <v>593274</v>
      </c>
      <c r="Y3" s="36">
        <v>607340</v>
      </c>
      <c r="Z3" s="36">
        <v>-14066</v>
      </c>
      <c r="AA3" s="36">
        <v>84904</v>
      </c>
      <c r="AB3" s="36">
        <v>142932</v>
      </c>
      <c r="AC3" s="36">
        <v>100000</v>
      </c>
      <c r="AD3" s="37">
        <v>1255879</v>
      </c>
      <c r="AE3" s="88">
        <v>626014</v>
      </c>
      <c r="AF3" s="36">
        <v>654337</v>
      </c>
      <c r="AG3" s="36">
        <v>-28323</v>
      </c>
      <c r="AH3" s="36">
        <v>244294</v>
      </c>
      <c r="AI3" s="36">
        <v>155889</v>
      </c>
      <c r="AJ3" s="36">
        <v>100000</v>
      </c>
      <c r="AK3" s="37">
        <v>1226148</v>
      </c>
      <c r="AL3" s="88">
        <v>695457</v>
      </c>
      <c r="AM3" s="36">
        <v>737151</v>
      </c>
      <c r="AN3" s="36">
        <v>-41694</v>
      </c>
      <c r="AO3" s="36">
        <v>192191</v>
      </c>
      <c r="AP3" s="36">
        <v>174452</v>
      </c>
      <c r="AQ3" s="36">
        <v>100000</v>
      </c>
      <c r="AR3" s="37">
        <v>1184794</v>
      </c>
    </row>
    <row r="4" spans="1:45" x14ac:dyDescent="0.25">
      <c r="A4" s="35">
        <f>A3+1</f>
        <v>2</v>
      </c>
      <c r="B4" s="57" t="s">
        <v>25</v>
      </c>
      <c r="C4" s="81">
        <v>9189</v>
      </c>
      <c r="D4" s="82">
        <v>8638</v>
      </c>
      <c r="E4" s="82">
        <v>551</v>
      </c>
      <c r="F4" s="82">
        <v>32267</v>
      </c>
      <c r="G4" s="82">
        <v>16467</v>
      </c>
      <c r="H4" s="82">
        <v>248923</v>
      </c>
      <c r="I4" s="83">
        <v>218623</v>
      </c>
      <c r="J4" s="81">
        <v>10574</v>
      </c>
      <c r="K4" s="82">
        <v>8034</v>
      </c>
      <c r="L4" s="82">
        <v>2540</v>
      </c>
      <c r="M4" s="82">
        <v>32181</v>
      </c>
      <c r="N4" s="82">
        <v>11333</v>
      </c>
      <c r="O4" s="82">
        <v>248923</v>
      </c>
      <c r="P4" s="83">
        <v>221163</v>
      </c>
      <c r="Q4" s="81">
        <v>14908</v>
      </c>
      <c r="R4" s="82">
        <v>9892</v>
      </c>
      <c r="S4" s="82">
        <v>5016</v>
      </c>
      <c r="T4" s="82">
        <v>28132</v>
      </c>
      <c r="U4" s="82">
        <v>9784</v>
      </c>
      <c r="V4" s="82">
        <v>248923</v>
      </c>
      <c r="W4" s="83">
        <v>225854</v>
      </c>
      <c r="X4" s="81">
        <v>8408</v>
      </c>
      <c r="Y4" s="82">
        <v>7794</v>
      </c>
      <c r="Z4" s="82">
        <v>614</v>
      </c>
      <c r="AA4" s="82">
        <v>28175</v>
      </c>
      <c r="AB4" s="82">
        <v>9883</v>
      </c>
      <c r="AC4" s="82">
        <v>248923</v>
      </c>
      <c r="AD4" s="83">
        <v>227654</v>
      </c>
      <c r="AE4" s="81">
        <v>11442</v>
      </c>
      <c r="AF4" s="82">
        <v>8929</v>
      </c>
      <c r="AG4" s="82">
        <v>2513</v>
      </c>
      <c r="AH4" s="82">
        <v>26081</v>
      </c>
      <c r="AI4" s="82">
        <v>9881</v>
      </c>
      <c r="AJ4" s="82">
        <v>248923</v>
      </c>
      <c r="AK4" s="83">
        <v>230278</v>
      </c>
      <c r="AL4" s="81">
        <v>11132</v>
      </c>
      <c r="AM4" s="82">
        <v>9602</v>
      </c>
      <c r="AN4" s="82">
        <v>1530</v>
      </c>
      <c r="AO4" s="82">
        <v>17488</v>
      </c>
      <c r="AP4" s="82">
        <v>8625</v>
      </c>
      <c r="AQ4" s="82">
        <v>248923</v>
      </c>
      <c r="AR4" s="83">
        <v>232351</v>
      </c>
    </row>
    <row r="5" spans="1:45" x14ac:dyDescent="0.25">
      <c r="A5" s="35">
        <f t="shared" ref="A5:A19" si="0">A4+1</f>
        <v>3</v>
      </c>
      <c r="B5" s="57" t="s">
        <v>26</v>
      </c>
      <c r="C5" s="81">
        <v>250596</v>
      </c>
      <c r="D5" s="82">
        <v>261426</v>
      </c>
      <c r="E5" s="82">
        <v>-10830</v>
      </c>
      <c r="F5" s="82">
        <v>26834</v>
      </c>
      <c r="G5" s="82">
        <v>20159</v>
      </c>
      <c r="H5" s="82">
        <v>9900</v>
      </c>
      <c r="I5" s="83">
        <v>279990</v>
      </c>
      <c r="J5" s="81">
        <v>272579</v>
      </c>
      <c r="K5" s="82">
        <v>305102</v>
      </c>
      <c r="L5" s="82">
        <v>-32523</v>
      </c>
      <c r="M5" s="82">
        <v>34262</v>
      </c>
      <c r="N5" s="82">
        <v>23681</v>
      </c>
      <c r="O5" s="82">
        <v>13005</v>
      </c>
      <c r="P5" s="83">
        <v>250000</v>
      </c>
      <c r="Q5" s="81">
        <v>343154</v>
      </c>
      <c r="R5" s="82">
        <v>358975</v>
      </c>
      <c r="S5" s="82">
        <v>-15821</v>
      </c>
      <c r="T5" s="82">
        <v>23609</v>
      </c>
      <c r="U5" s="82">
        <v>42599</v>
      </c>
      <c r="V5" s="82">
        <v>13005</v>
      </c>
      <c r="W5" s="83">
        <v>233531</v>
      </c>
      <c r="X5" s="81">
        <v>314078</v>
      </c>
      <c r="Y5" s="82">
        <v>351588</v>
      </c>
      <c r="Z5" s="82">
        <v>-37510</v>
      </c>
      <c r="AA5" s="82">
        <v>34736</v>
      </c>
      <c r="AB5" s="82">
        <v>22614</v>
      </c>
      <c r="AC5" s="82">
        <v>13005</v>
      </c>
      <c r="AD5" s="83">
        <v>195907</v>
      </c>
      <c r="AE5" s="81">
        <v>377839</v>
      </c>
      <c r="AF5" s="82">
        <v>385694.22563</v>
      </c>
      <c r="AG5" s="82">
        <v>-7855.2256300000008</v>
      </c>
      <c r="AH5" s="82">
        <v>58626</v>
      </c>
      <c r="AI5" s="82">
        <v>23256</v>
      </c>
      <c r="AJ5" s="82">
        <v>13005</v>
      </c>
      <c r="AK5" s="83">
        <v>188621</v>
      </c>
      <c r="AL5" s="81">
        <v>352969</v>
      </c>
      <c r="AM5" s="82">
        <v>414852.05914000003</v>
      </c>
      <c r="AN5" s="82">
        <v>-61883.059140000027</v>
      </c>
      <c r="AO5" s="82">
        <v>83891</v>
      </c>
      <c r="AP5" s="82">
        <v>22487</v>
      </c>
      <c r="AQ5" s="82">
        <v>13005</v>
      </c>
      <c r="AR5" s="83">
        <v>123586</v>
      </c>
    </row>
    <row r="6" spans="1:45" x14ac:dyDescent="0.25">
      <c r="A6" s="35">
        <f t="shared" si="0"/>
        <v>4</v>
      </c>
      <c r="B6" s="57" t="s">
        <v>27</v>
      </c>
      <c r="C6" s="81">
        <v>128763</v>
      </c>
      <c r="D6" s="82">
        <v>130949</v>
      </c>
      <c r="E6" s="82">
        <v>-2186</v>
      </c>
      <c r="F6" s="82">
        <v>99730</v>
      </c>
      <c r="G6" s="82">
        <v>19033</v>
      </c>
      <c r="H6" s="82">
        <v>23251</v>
      </c>
      <c r="I6" s="83">
        <v>97078</v>
      </c>
      <c r="J6" s="81">
        <v>128662</v>
      </c>
      <c r="K6" s="82">
        <v>135708</v>
      </c>
      <c r="L6" s="82">
        <v>-7046</v>
      </c>
      <c r="M6" s="82">
        <v>106584</v>
      </c>
      <c r="N6" s="82">
        <v>18967</v>
      </c>
      <c r="O6" s="82">
        <v>25791</v>
      </c>
      <c r="P6" s="83">
        <v>91440</v>
      </c>
      <c r="Q6" s="81">
        <v>165399.45000000001</v>
      </c>
      <c r="R6" s="82">
        <v>152421</v>
      </c>
      <c r="S6" s="82">
        <v>12978</v>
      </c>
      <c r="T6" s="82">
        <v>98918</v>
      </c>
      <c r="U6" s="82">
        <v>21110</v>
      </c>
      <c r="V6" s="82">
        <v>25791</v>
      </c>
      <c r="W6" s="83">
        <v>103725</v>
      </c>
      <c r="X6" s="81">
        <v>128896</v>
      </c>
      <c r="Y6" s="82">
        <v>139294</v>
      </c>
      <c r="Z6" s="82">
        <v>-10398</v>
      </c>
      <c r="AA6" s="82">
        <v>100590</v>
      </c>
      <c r="AB6" s="82">
        <v>17341</v>
      </c>
      <c r="AC6" s="82">
        <v>28791</v>
      </c>
      <c r="AD6" s="83">
        <v>95498</v>
      </c>
      <c r="AE6" s="81">
        <v>137778.93895000001</v>
      </c>
      <c r="AF6" s="82">
        <v>145191.22535000002</v>
      </c>
      <c r="AG6" s="82">
        <v>-7412.2864000000118</v>
      </c>
      <c r="AH6" s="82">
        <v>112239</v>
      </c>
      <c r="AI6" s="82">
        <v>17517</v>
      </c>
      <c r="AJ6" s="82">
        <v>28791</v>
      </c>
      <c r="AK6" s="83">
        <v>88056</v>
      </c>
      <c r="AL6" s="81">
        <v>119777.21312</v>
      </c>
      <c r="AM6" s="82">
        <v>139621</v>
      </c>
      <c r="AN6" s="82">
        <v>-19843.78688</v>
      </c>
      <c r="AO6" s="82">
        <v>135676.6643</v>
      </c>
      <c r="AP6" s="82">
        <v>14862.697070000004</v>
      </c>
      <c r="AQ6" s="82">
        <v>28791</v>
      </c>
      <c r="AR6" s="83">
        <v>68505.659880000021</v>
      </c>
    </row>
    <row r="7" spans="1:45" x14ac:dyDescent="0.25">
      <c r="A7" s="35">
        <f t="shared" si="0"/>
        <v>5</v>
      </c>
      <c r="B7" s="57" t="s">
        <v>28</v>
      </c>
      <c r="C7" s="38">
        <f>179854+100</f>
        <v>179954</v>
      </c>
      <c r="D7" s="36">
        <f>176660+165</f>
        <v>176825</v>
      </c>
      <c r="E7" s="36">
        <v>2552</v>
      </c>
      <c r="F7" s="36">
        <f>10644+15767+11554+59+2848+1514</f>
        <v>42386</v>
      </c>
      <c r="G7" s="36">
        <f>72442+44996+50+1200+6213</f>
        <v>124901</v>
      </c>
      <c r="H7" s="36">
        <v>129758</v>
      </c>
      <c r="I7" s="37">
        <v>342130</v>
      </c>
      <c r="J7" s="38">
        <f>185723+2143</f>
        <v>187866</v>
      </c>
      <c r="K7" s="36">
        <f>184370+190</f>
        <v>184560</v>
      </c>
      <c r="L7" s="36">
        <v>3033</v>
      </c>
      <c r="M7" s="36">
        <f>14399+16796+15526+50+2431+1844</f>
        <v>51046</v>
      </c>
      <c r="N7" s="36">
        <f>120076+34946+28+397+4716</f>
        <v>160163</v>
      </c>
      <c r="O7" s="36">
        <v>129758</v>
      </c>
      <c r="P7" s="37">
        <v>342778</v>
      </c>
      <c r="Q7" s="38">
        <f>293046+234</f>
        <v>293280</v>
      </c>
      <c r="R7" s="36">
        <f>269489+13143</f>
        <v>282632</v>
      </c>
      <c r="S7" s="36">
        <v>9624</v>
      </c>
      <c r="T7" s="36">
        <f>18102+20245+3907+47+3357+1788</f>
        <v>47446</v>
      </c>
      <c r="U7" s="36">
        <f>94039+76760+35+1517+6064</f>
        <v>178415</v>
      </c>
      <c r="V7" s="36">
        <v>129758</v>
      </c>
      <c r="W7" s="37">
        <v>350421</v>
      </c>
      <c r="X7" s="38">
        <f>331648+10526</f>
        <v>342174</v>
      </c>
      <c r="Y7" s="36">
        <f>320769+901</f>
        <v>321670</v>
      </c>
      <c r="Z7" s="36">
        <v>18472</v>
      </c>
      <c r="AA7" s="36">
        <f>22719+23239+9454+10+4042+2225</f>
        <v>61689</v>
      </c>
      <c r="AB7" s="36">
        <f>81402+99834+129+544+9004</f>
        <v>190913</v>
      </c>
      <c r="AC7" s="36">
        <v>129758</v>
      </c>
      <c r="AD7" s="37">
        <v>357950</v>
      </c>
      <c r="AE7" s="38">
        <f>296736+11269</f>
        <v>308005</v>
      </c>
      <c r="AF7" s="36">
        <f>295499+1121</f>
        <v>296620</v>
      </c>
      <c r="AG7" s="36">
        <v>10253</v>
      </c>
      <c r="AH7" s="36">
        <f>22412+27392+7449+154+4723+2911</f>
        <v>65041</v>
      </c>
      <c r="AI7" s="36">
        <f>65458+89307+23+1386+10205</f>
        <v>166379</v>
      </c>
      <c r="AJ7" s="36">
        <v>129758</v>
      </c>
      <c r="AK7" s="37">
        <v>354021</v>
      </c>
      <c r="AL7" s="38">
        <f>291789+6580</f>
        <v>298369</v>
      </c>
      <c r="AM7" s="36">
        <f>274873+1148</f>
        <v>276021</v>
      </c>
      <c r="AN7" s="36">
        <v>20113</v>
      </c>
      <c r="AO7" s="36">
        <f>27988+28677+6437+35+5955+3143</f>
        <v>72235</v>
      </c>
      <c r="AP7" s="36">
        <f>32653+84410+76+9376</f>
        <v>126515</v>
      </c>
      <c r="AQ7" s="36">
        <v>129758</v>
      </c>
      <c r="AR7" s="37">
        <v>363881</v>
      </c>
    </row>
    <row r="8" spans="1:45" ht="17.350000000000001" customHeight="1" x14ac:dyDescent="0.25">
      <c r="A8" s="35">
        <f t="shared" si="0"/>
        <v>6</v>
      </c>
      <c r="B8" s="58" t="s">
        <v>29</v>
      </c>
      <c r="C8" s="38">
        <f>37903+861+1234</f>
        <v>39998</v>
      </c>
      <c r="D8" s="36">
        <f>-51279</f>
        <v>-51279</v>
      </c>
      <c r="E8" s="36">
        <v>-11281</v>
      </c>
      <c r="F8" s="36">
        <v>6888</v>
      </c>
      <c r="G8" s="36">
        <v>140822</v>
      </c>
      <c r="H8" s="36">
        <v>1292436</v>
      </c>
      <c r="I8" s="37">
        <v>1216109</v>
      </c>
      <c r="J8" s="38">
        <f>40320+439+1327</f>
        <v>42086</v>
      </c>
      <c r="K8" s="36">
        <v>-54136</v>
      </c>
      <c r="L8" s="36">
        <v>-12050</v>
      </c>
      <c r="M8" s="36">
        <v>8604</v>
      </c>
      <c r="N8" s="36">
        <v>75478</v>
      </c>
      <c r="O8" s="36">
        <v>1396508</v>
      </c>
      <c r="P8" s="37">
        <v>1308091</v>
      </c>
      <c r="Q8" s="38">
        <f>47973+1258</f>
        <v>49231</v>
      </c>
      <c r="R8" s="36">
        <f>-60276-536</f>
        <v>-60812</v>
      </c>
      <c r="S8" s="36">
        <v>-11581</v>
      </c>
      <c r="T8" s="36">
        <v>6244</v>
      </c>
      <c r="U8" s="36">
        <v>42901</v>
      </c>
      <c r="V8" s="36">
        <v>1456847</v>
      </c>
      <c r="W8" s="37">
        <v>1356894</v>
      </c>
      <c r="X8" s="36">
        <f>59321+1239</f>
        <v>60560</v>
      </c>
      <c r="Y8" s="36">
        <v>-71690</v>
      </c>
      <c r="Z8" s="36">
        <v>-11130</v>
      </c>
      <c r="AA8" s="37">
        <v>6576</v>
      </c>
      <c r="AB8" s="36">
        <v>30388</v>
      </c>
      <c r="AC8" s="36">
        <v>1555728</v>
      </c>
      <c r="AD8" s="36">
        <v>1444700</v>
      </c>
      <c r="AE8" s="36">
        <f>68420</f>
        <v>68420</v>
      </c>
      <c r="AF8" s="37">
        <f>-84329-3793</f>
        <v>-88122</v>
      </c>
      <c r="AG8" s="36">
        <v>-19702</v>
      </c>
      <c r="AH8" s="36">
        <v>10189</v>
      </c>
      <c r="AI8" s="36">
        <v>9148</v>
      </c>
      <c r="AJ8" s="36">
        <v>1629700</v>
      </c>
      <c r="AK8" s="37">
        <v>1499598</v>
      </c>
      <c r="AL8" s="36">
        <f>66824+2405</f>
        <v>69229</v>
      </c>
      <c r="AM8" s="37">
        <v>-90792</v>
      </c>
      <c r="AN8" s="36">
        <f>AM8+AL8</f>
        <v>-21563</v>
      </c>
      <c r="AO8" s="36">
        <v>13187</v>
      </c>
      <c r="AP8" s="36">
        <v>21768</v>
      </c>
      <c r="AQ8" s="36">
        <v>1695959</v>
      </c>
      <c r="AR8" s="37">
        <v>1544470</v>
      </c>
    </row>
    <row r="9" spans="1:45" s="33" customFormat="1" x14ac:dyDescent="0.25">
      <c r="A9" s="35">
        <f t="shared" si="0"/>
        <v>7</v>
      </c>
      <c r="B9" s="59" t="s">
        <v>31</v>
      </c>
      <c r="C9" s="44">
        <v>51884</v>
      </c>
      <c r="D9" s="45">
        <f>57082-6</f>
        <v>57076</v>
      </c>
      <c r="E9" s="45">
        <v>-5116</v>
      </c>
      <c r="F9" s="46">
        <v>18092</v>
      </c>
      <c r="G9" s="45">
        <v>6602</v>
      </c>
      <c r="H9" s="45">
        <v>8494</v>
      </c>
      <c r="I9" s="47">
        <v>45289</v>
      </c>
      <c r="J9" s="44">
        <v>56376</v>
      </c>
      <c r="K9" s="45">
        <f>58398-3</f>
        <v>58395</v>
      </c>
      <c r="L9" s="45">
        <v>-1532</v>
      </c>
      <c r="M9" s="46">
        <v>15170</v>
      </c>
      <c r="N9" s="46">
        <v>5017</v>
      </c>
      <c r="O9" s="45">
        <v>8494</v>
      </c>
      <c r="P9" s="47">
        <v>43757</v>
      </c>
      <c r="Q9" s="44">
        <v>73093</v>
      </c>
      <c r="R9" s="45">
        <v>64016</v>
      </c>
      <c r="S9" s="45">
        <v>8330</v>
      </c>
      <c r="T9" s="46">
        <v>16240</v>
      </c>
      <c r="U9" s="45">
        <v>5466</v>
      </c>
      <c r="V9" s="45">
        <v>8494</v>
      </c>
      <c r="W9" s="47">
        <v>52087</v>
      </c>
      <c r="X9" s="44">
        <v>85073</v>
      </c>
      <c r="Y9" s="45">
        <v>68777</v>
      </c>
      <c r="Z9" s="45">
        <v>14654</v>
      </c>
      <c r="AA9" s="46">
        <v>14661</v>
      </c>
      <c r="AB9" s="45">
        <v>6925</v>
      </c>
      <c r="AC9" s="45">
        <v>8494</v>
      </c>
      <c r="AD9" s="47">
        <v>58411</v>
      </c>
      <c r="AE9" s="44">
        <v>83869</v>
      </c>
      <c r="AF9" s="45">
        <v>74577</v>
      </c>
      <c r="AG9" s="45">
        <v>8363</v>
      </c>
      <c r="AH9" s="46">
        <v>10614</v>
      </c>
      <c r="AI9" s="45">
        <v>8349</v>
      </c>
      <c r="AJ9" s="45">
        <v>8494</v>
      </c>
      <c r="AK9" s="47">
        <v>52120</v>
      </c>
      <c r="AL9" s="44">
        <v>87229</v>
      </c>
      <c r="AM9" s="45">
        <v>80214</v>
      </c>
      <c r="AN9" s="45">
        <v>6320</v>
      </c>
      <c r="AO9" s="89">
        <v>14517</v>
      </c>
      <c r="AP9" s="45">
        <v>9200</v>
      </c>
      <c r="AQ9" s="45">
        <v>8494</v>
      </c>
      <c r="AR9" s="47">
        <v>50077</v>
      </c>
      <c r="AS9" s="48"/>
    </row>
    <row r="10" spans="1:45" s="42" customFormat="1" x14ac:dyDescent="0.25">
      <c r="A10" s="35">
        <f t="shared" si="0"/>
        <v>8</v>
      </c>
      <c r="B10" s="60" t="s">
        <v>32</v>
      </c>
      <c r="C10" s="39">
        <v>5203</v>
      </c>
      <c r="D10" s="40">
        <v>6285</v>
      </c>
      <c r="E10" s="40">
        <v>-1003</v>
      </c>
      <c r="F10" s="40">
        <f>6130+947</f>
        <v>7077</v>
      </c>
      <c r="G10" s="40">
        <v>1830</v>
      </c>
      <c r="H10" s="40">
        <v>5514</v>
      </c>
      <c r="I10" s="41">
        <v>2900</v>
      </c>
      <c r="J10" s="39">
        <v>5843</v>
      </c>
      <c r="K10" s="40">
        <v>6958</v>
      </c>
      <c r="L10" s="40">
        <v>-1110</v>
      </c>
      <c r="M10" s="40">
        <v>7281</v>
      </c>
      <c r="N10" s="40">
        <v>1805</v>
      </c>
      <c r="O10" s="40">
        <v>5514</v>
      </c>
      <c r="P10" s="41">
        <v>1796</v>
      </c>
      <c r="Q10" s="39">
        <v>8446</v>
      </c>
      <c r="R10" s="40">
        <v>8194</v>
      </c>
      <c r="S10" s="40">
        <v>235</v>
      </c>
      <c r="T10" s="40">
        <v>6924</v>
      </c>
      <c r="U10" s="40">
        <v>1647</v>
      </c>
      <c r="V10" s="40">
        <v>5514</v>
      </c>
      <c r="W10" s="41">
        <v>2036</v>
      </c>
      <c r="X10" s="39">
        <v>5348</v>
      </c>
      <c r="Y10" s="40">
        <v>6787</v>
      </c>
      <c r="Z10" s="40">
        <v>-1426</v>
      </c>
      <c r="AA10" s="40">
        <v>6665</v>
      </c>
      <c r="AB10" s="40">
        <v>1547</v>
      </c>
      <c r="AC10" s="40">
        <v>5514</v>
      </c>
      <c r="AD10" s="41">
        <v>614</v>
      </c>
      <c r="AE10" s="39">
        <v>7292</v>
      </c>
      <c r="AF10" s="40">
        <v>7765</v>
      </c>
      <c r="AG10" s="40">
        <v>-488</v>
      </c>
      <c r="AH10" s="40">
        <v>6585</v>
      </c>
      <c r="AI10" s="40">
        <v>1278</v>
      </c>
      <c r="AJ10" s="40">
        <v>5514</v>
      </c>
      <c r="AK10" s="41">
        <v>131</v>
      </c>
      <c r="AL10" s="39">
        <v>8089</v>
      </c>
      <c r="AM10" s="40">
        <v>8063</v>
      </c>
      <c r="AN10" s="40">
        <v>18</v>
      </c>
      <c r="AO10" s="40">
        <v>6545</v>
      </c>
      <c r="AP10" s="40">
        <v>1505</v>
      </c>
      <c r="AQ10" s="40">
        <v>5514</v>
      </c>
      <c r="AR10" s="41">
        <v>153</v>
      </c>
    </row>
    <row r="11" spans="1:45" s="42" customFormat="1" x14ac:dyDescent="0.25">
      <c r="A11" s="35">
        <f t="shared" si="0"/>
        <v>9</v>
      </c>
      <c r="B11" s="60" t="s">
        <v>33</v>
      </c>
      <c r="C11" s="39">
        <v>5150</v>
      </c>
      <c r="D11" s="40">
        <v>4864</v>
      </c>
      <c r="E11" s="40">
        <v>286</v>
      </c>
      <c r="F11" s="40">
        <v>484</v>
      </c>
      <c r="G11" s="40">
        <v>2491</v>
      </c>
      <c r="H11" s="40">
        <v>2662</v>
      </c>
      <c r="I11" s="41">
        <v>16549</v>
      </c>
      <c r="J11" s="39">
        <v>5233</v>
      </c>
      <c r="K11" s="40">
        <v>5135</v>
      </c>
      <c r="L11" s="40">
        <v>98</v>
      </c>
      <c r="M11" s="40">
        <v>578</v>
      </c>
      <c r="N11" s="40">
        <v>2490</v>
      </c>
      <c r="O11" s="40">
        <v>2662</v>
      </c>
      <c r="P11" s="41">
        <v>16509</v>
      </c>
      <c r="Q11" s="39">
        <v>8006</v>
      </c>
      <c r="R11" s="40">
        <v>7006</v>
      </c>
      <c r="S11" s="40">
        <v>1000</v>
      </c>
      <c r="T11" s="40">
        <v>926</v>
      </c>
      <c r="U11" s="40">
        <v>3076</v>
      </c>
      <c r="V11" s="40">
        <v>2662</v>
      </c>
      <c r="W11" s="41">
        <v>17321</v>
      </c>
      <c r="X11" s="39">
        <v>8679</v>
      </c>
      <c r="Y11" s="40">
        <v>8250</v>
      </c>
      <c r="Z11" s="40">
        <v>429</v>
      </c>
      <c r="AA11" s="40">
        <v>734</v>
      </c>
      <c r="AB11" s="40">
        <v>2464</v>
      </c>
      <c r="AC11" s="40">
        <v>2662</v>
      </c>
      <c r="AD11" s="41">
        <v>16807</v>
      </c>
      <c r="AE11" s="39">
        <v>7253</v>
      </c>
      <c r="AF11" s="40">
        <v>6820</v>
      </c>
      <c r="AG11" s="40">
        <v>433</v>
      </c>
      <c r="AH11" s="40">
        <v>1091</v>
      </c>
      <c r="AI11" s="40">
        <v>2695</v>
      </c>
      <c r="AJ11" s="40">
        <v>2662</v>
      </c>
      <c r="AK11" s="41">
        <v>16808</v>
      </c>
      <c r="AL11" s="39">
        <v>8188</v>
      </c>
      <c r="AM11" s="40">
        <v>7446</v>
      </c>
      <c r="AN11" s="40">
        <v>742</v>
      </c>
      <c r="AO11" s="40">
        <v>854</v>
      </c>
      <c r="AP11" s="40">
        <v>2527</v>
      </c>
      <c r="AQ11" s="40">
        <v>2662</v>
      </c>
      <c r="AR11" s="41">
        <v>17086</v>
      </c>
    </row>
    <row r="12" spans="1:45" s="42" customFormat="1" ht="14.95" customHeight="1" x14ac:dyDescent="0.25">
      <c r="A12" s="35">
        <f t="shared" si="0"/>
        <v>10</v>
      </c>
      <c r="B12" s="60" t="s">
        <v>34</v>
      </c>
      <c r="C12" s="39">
        <v>49</v>
      </c>
      <c r="D12" s="40">
        <v>354</v>
      </c>
      <c r="E12" s="40">
        <v>-308</v>
      </c>
      <c r="F12" s="40">
        <v>96</v>
      </c>
      <c r="G12" s="40">
        <v>1066</v>
      </c>
      <c r="H12" s="40">
        <v>3488</v>
      </c>
      <c r="I12" s="41">
        <v>2630</v>
      </c>
      <c r="J12" s="39">
        <v>189</v>
      </c>
      <c r="K12" s="40">
        <v>380</v>
      </c>
      <c r="L12" s="40">
        <v>-194</v>
      </c>
      <c r="M12" s="40">
        <v>55</v>
      </c>
      <c r="N12" s="40">
        <v>1067</v>
      </c>
      <c r="O12" s="40">
        <v>3294</v>
      </c>
      <c r="P12" s="41">
        <v>2630</v>
      </c>
      <c r="Q12" s="39">
        <v>459</v>
      </c>
      <c r="R12" s="40">
        <v>452</v>
      </c>
      <c r="S12" s="40">
        <v>6</v>
      </c>
      <c r="T12" s="40">
        <v>38</v>
      </c>
      <c r="U12" s="40">
        <v>1061</v>
      </c>
      <c r="V12" s="40">
        <v>3300</v>
      </c>
      <c r="W12" s="41">
        <v>2630</v>
      </c>
      <c r="X12" s="39">
        <v>569</v>
      </c>
      <c r="Y12" s="40">
        <v>544</v>
      </c>
      <c r="Z12" s="40">
        <v>25</v>
      </c>
      <c r="AA12" s="40">
        <v>43</v>
      </c>
      <c r="AB12" s="40">
        <v>1076</v>
      </c>
      <c r="AC12" s="40">
        <v>3325</v>
      </c>
      <c r="AD12" s="41">
        <v>2630</v>
      </c>
      <c r="AE12" s="39">
        <v>726</v>
      </c>
      <c r="AF12" s="40">
        <v>678</v>
      </c>
      <c r="AG12" s="40">
        <v>48</v>
      </c>
      <c r="AH12" s="40">
        <v>32</v>
      </c>
      <c r="AI12" s="40">
        <v>1131</v>
      </c>
      <c r="AJ12" s="40">
        <v>3373</v>
      </c>
      <c r="AK12" s="41">
        <v>2630</v>
      </c>
      <c r="AL12" s="39">
        <v>889</v>
      </c>
      <c r="AM12" s="40">
        <v>764</v>
      </c>
      <c r="AN12" s="40">
        <v>125</v>
      </c>
      <c r="AO12" s="40">
        <v>51</v>
      </c>
      <c r="AP12" s="40">
        <v>1090</v>
      </c>
      <c r="AQ12" s="40">
        <v>3450</v>
      </c>
      <c r="AR12" s="41">
        <v>2630</v>
      </c>
    </row>
    <row r="13" spans="1:45" s="1" customFormat="1" x14ac:dyDescent="0.25">
      <c r="A13" s="35">
        <f t="shared" si="0"/>
        <v>11</v>
      </c>
      <c r="B13" s="61" t="s">
        <v>39</v>
      </c>
      <c r="C13" s="63">
        <v>4115</v>
      </c>
      <c r="D13" s="64">
        <v>4298</v>
      </c>
      <c r="E13" s="64">
        <v>-183</v>
      </c>
      <c r="F13" s="64">
        <v>6163</v>
      </c>
      <c r="G13" s="64">
        <v>1099</v>
      </c>
      <c r="H13" s="64">
        <v>1861</v>
      </c>
      <c r="I13" s="65">
        <v>1893</v>
      </c>
      <c r="J13" s="63">
        <v>4755</v>
      </c>
      <c r="K13" s="64">
        <v>5130</v>
      </c>
      <c r="L13" s="64">
        <v>-375</v>
      </c>
      <c r="M13" s="64">
        <v>3387</v>
      </c>
      <c r="N13" s="64">
        <v>1025</v>
      </c>
      <c r="O13" s="64">
        <v>1861</v>
      </c>
      <c r="P13" s="65">
        <v>1518</v>
      </c>
      <c r="Q13" s="63">
        <v>3964</v>
      </c>
      <c r="R13" s="64">
        <v>3948</v>
      </c>
      <c r="S13" s="64">
        <v>16</v>
      </c>
      <c r="T13" s="64">
        <v>1403</v>
      </c>
      <c r="U13" s="64">
        <v>894</v>
      </c>
      <c r="V13" s="64">
        <v>1861</v>
      </c>
      <c r="W13" s="65">
        <v>1534</v>
      </c>
      <c r="X13" s="63">
        <v>2745</v>
      </c>
      <c r="Y13" s="64">
        <v>3503</v>
      </c>
      <c r="Z13" s="64">
        <v>-758</v>
      </c>
      <c r="AA13" s="64">
        <v>1691</v>
      </c>
      <c r="AB13" s="64">
        <v>568</v>
      </c>
      <c r="AC13" s="64">
        <v>1861</v>
      </c>
      <c r="AD13" s="65">
        <v>776</v>
      </c>
      <c r="AE13" s="63">
        <v>2916</v>
      </c>
      <c r="AF13" s="64">
        <v>3223</v>
      </c>
      <c r="AG13" s="64">
        <v>-307</v>
      </c>
      <c r="AH13" s="64">
        <v>1722</v>
      </c>
      <c r="AI13" s="64">
        <v>788</v>
      </c>
      <c r="AJ13" s="64">
        <v>1861</v>
      </c>
      <c r="AK13" s="65">
        <v>469</v>
      </c>
      <c r="AL13" s="63">
        <v>2826</v>
      </c>
      <c r="AM13" s="64">
        <v>4021</v>
      </c>
      <c r="AN13" s="64">
        <v>-1195</v>
      </c>
      <c r="AO13" s="64">
        <v>1930</v>
      </c>
      <c r="AP13" s="64">
        <v>750</v>
      </c>
      <c r="AQ13" s="64">
        <v>1861</v>
      </c>
      <c r="AR13" s="65">
        <v>-726</v>
      </c>
    </row>
    <row r="14" spans="1:45" s="1" customFormat="1" x14ac:dyDescent="0.25">
      <c r="A14" s="35">
        <f t="shared" si="0"/>
        <v>12</v>
      </c>
      <c r="B14" s="61" t="s">
        <v>41</v>
      </c>
      <c r="C14" s="63">
        <v>173816</v>
      </c>
      <c r="D14" s="64">
        <v>169676</v>
      </c>
      <c r="E14" s="64">
        <v>4140</v>
      </c>
      <c r="F14" s="64">
        <v>148642</v>
      </c>
      <c r="G14" s="64">
        <v>114571</v>
      </c>
      <c r="H14" s="64">
        <v>54673</v>
      </c>
      <c r="I14" s="65">
        <v>47603</v>
      </c>
      <c r="J14" s="63">
        <v>183352</v>
      </c>
      <c r="K14" s="64">
        <v>179724</v>
      </c>
      <c r="L14" s="64">
        <v>3628</v>
      </c>
      <c r="M14" s="64">
        <v>71024</v>
      </c>
      <c r="N14" s="64">
        <v>59210</v>
      </c>
      <c r="O14" s="64">
        <v>54673</v>
      </c>
      <c r="P14" s="65">
        <v>51231</v>
      </c>
      <c r="Q14" s="63">
        <v>93111</v>
      </c>
      <c r="R14" s="64">
        <v>94435</v>
      </c>
      <c r="S14" s="64">
        <v>-1324</v>
      </c>
      <c r="T14" s="64">
        <v>41979</v>
      </c>
      <c r="U14" s="64">
        <v>45061</v>
      </c>
      <c r="V14" s="64">
        <v>54673</v>
      </c>
      <c r="W14" s="65">
        <v>49907</v>
      </c>
      <c r="X14" s="63">
        <v>60461</v>
      </c>
      <c r="Y14" s="64">
        <v>61394</v>
      </c>
      <c r="Z14" s="64">
        <v>-933</v>
      </c>
      <c r="AA14" s="64">
        <v>19533</v>
      </c>
      <c r="AB14" s="64">
        <v>15017</v>
      </c>
      <c r="AC14" s="64">
        <v>54673</v>
      </c>
      <c r="AD14" s="65">
        <v>48974</v>
      </c>
      <c r="AE14" s="63">
        <v>115541</v>
      </c>
      <c r="AF14" s="64">
        <v>115518</v>
      </c>
      <c r="AG14" s="64">
        <v>23</v>
      </c>
      <c r="AH14" s="64">
        <v>50926</v>
      </c>
      <c r="AI14" s="64">
        <v>56653</v>
      </c>
      <c r="AJ14" s="64">
        <v>54673</v>
      </c>
      <c r="AK14" s="65">
        <v>48997</v>
      </c>
      <c r="AL14" s="63">
        <v>36400</v>
      </c>
      <c r="AM14" s="64">
        <v>36343</v>
      </c>
      <c r="AN14" s="64">
        <v>57</v>
      </c>
      <c r="AO14" s="64">
        <v>8721</v>
      </c>
      <c r="AP14" s="64">
        <v>16504</v>
      </c>
      <c r="AQ14" s="64">
        <v>54673</v>
      </c>
      <c r="AR14" s="65">
        <v>49053</v>
      </c>
    </row>
    <row r="15" spans="1:45" s="62" customFormat="1" x14ac:dyDescent="0.25">
      <c r="A15" s="35">
        <f t="shared" si="0"/>
        <v>13</v>
      </c>
      <c r="B15" s="67" t="s">
        <v>42</v>
      </c>
      <c r="C15" s="63">
        <f>1205+4+42</f>
        <v>1251</v>
      </c>
      <c r="D15" s="64">
        <f>2245+168+178+12</f>
        <v>2603</v>
      </c>
      <c r="E15" s="64">
        <f>C15-D15</f>
        <v>-1352</v>
      </c>
      <c r="F15" s="64">
        <f>65+110+155</f>
        <v>330</v>
      </c>
      <c r="G15" s="64">
        <v>361</v>
      </c>
      <c r="H15" s="64">
        <v>32885</v>
      </c>
      <c r="I15" s="65">
        <v>19953</v>
      </c>
      <c r="J15" s="63">
        <f>1100+163+136+20</f>
        <v>1419</v>
      </c>
      <c r="K15" s="64">
        <f>2268+1+24</f>
        <v>2293</v>
      </c>
      <c r="L15" s="64">
        <f>J15-K15</f>
        <v>-874</v>
      </c>
      <c r="M15" s="66">
        <v>375</v>
      </c>
      <c r="N15" s="66">
        <v>39</v>
      </c>
      <c r="O15" s="64">
        <v>32885</v>
      </c>
      <c r="P15" s="65">
        <v>19079</v>
      </c>
      <c r="Q15" s="63">
        <f>2203+2660+99</f>
        <v>4962</v>
      </c>
      <c r="R15" s="64">
        <f>2623+2+225</f>
        <v>2850</v>
      </c>
      <c r="S15" s="64">
        <f>Q15-R15</f>
        <v>2112</v>
      </c>
      <c r="T15" s="66">
        <v>553</v>
      </c>
      <c r="U15" s="66">
        <v>7</v>
      </c>
      <c r="V15" s="64">
        <v>32885</v>
      </c>
      <c r="W15" s="65">
        <v>21191</v>
      </c>
      <c r="X15" s="63">
        <f>2215+231+1+138</f>
        <v>2585</v>
      </c>
      <c r="Y15" s="64">
        <f>3180+47</f>
        <v>3227</v>
      </c>
      <c r="Z15" s="64">
        <f>X15-Y15</f>
        <v>-642</v>
      </c>
      <c r="AA15" s="64">
        <v>436</v>
      </c>
      <c r="AB15" s="64">
        <v>533</v>
      </c>
      <c r="AC15" s="64">
        <v>32885</v>
      </c>
      <c r="AD15" s="65">
        <v>20557</v>
      </c>
      <c r="AE15" s="63">
        <f>2188+547</f>
        <v>2735</v>
      </c>
      <c r="AF15" s="64">
        <v>7747</v>
      </c>
      <c r="AG15" s="64">
        <f>AE15-AF15</f>
        <v>-5012</v>
      </c>
      <c r="AH15" s="64">
        <v>398</v>
      </c>
      <c r="AI15" s="64">
        <v>107</v>
      </c>
      <c r="AJ15" s="66">
        <v>15716</v>
      </c>
      <c r="AK15" s="86">
        <v>15552</v>
      </c>
      <c r="AL15" s="87">
        <f>1589+36</f>
        <v>1625</v>
      </c>
      <c r="AM15" s="66">
        <v>2977</v>
      </c>
      <c r="AN15" s="64">
        <f>AL15-AM15</f>
        <v>-1352</v>
      </c>
      <c r="AO15" s="66">
        <v>338</v>
      </c>
      <c r="AP15" s="66">
        <v>16</v>
      </c>
      <c r="AQ15" s="66">
        <v>15716</v>
      </c>
      <c r="AR15" s="86">
        <v>14210</v>
      </c>
    </row>
    <row r="16" spans="1:45" s="1" customFormat="1" x14ac:dyDescent="0.25">
      <c r="A16" s="35">
        <f t="shared" si="0"/>
        <v>14</v>
      </c>
      <c r="B16" s="53" t="s">
        <v>43</v>
      </c>
      <c r="C16" s="114"/>
      <c r="D16" s="115"/>
      <c r="E16" s="115"/>
      <c r="F16" s="115"/>
      <c r="G16" s="115"/>
      <c r="H16" s="115"/>
      <c r="I16" s="116"/>
      <c r="J16" s="114"/>
      <c r="K16" s="115"/>
      <c r="L16" s="115"/>
      <c r="M16" s="115"/>
      <c r="N16" s="115"/>
      <c r="O16" s="115"/>
      <c r="P16" s="116"/>
      <c r="Q16" s="114"/>
      <c r="R16" s="115"/>
      <c r="S16" s="115"/>
      <c r="T16" s="115"/>
      <c r="U16" s="115"/>
      <c r="V16" s="115"/>
      <c r="W16" s="116"/>
      <c r="X16" s="63">
        <v>819</v>
      </c>
      <c r="Y16" s="64">
        <v>819</v>
      </c>
      <c r="Z16" s="64">
        <v>0</v>
      </c>
      <c r="AA16" s="64">
        <v>80</v>
      </c>
      <c r="AB16" s="64">
        <v>16</v>
      </c>
      <c r="AC16" s="64">
        <v>3000</v>
      </c>
      <c r="AD16" s="65">
        <v>2534</v>
      </c>
      <c r="AE16" s="63">
        <v>5220</v>
      </c>
      <c r="AF16" s="64">
        <v>5220</v>
      </c>
      <c r="AG16" s="64">
        <f>+AE16-AF16</f>
        <v>0</v>
      </c>
      <c r="AH16" s="64">
        <v>211</v>
      </c>
      <c r="AI16" s="64">
        <v>163</v>
      </c>
      <c r="AJ16" s="64">
        <v>3000</v>
      </c>
      <c r="AK16" s="65">
        <v>2534</v>
      </c>
      <c r="AL16" s="63">
        <v>9479</v>
      </c>
      <c r="AM16" s="64">
        <v>9479</v>
      </c>
      <c r="AN16" s="64">
        <f>+AL16-AM16</f>
        <v>0</v>
      </c>
      <c r="AO16" s="64">
        <v>424</v>
      </c>
      <c r="AP16" s="64">
        <v>11</v>
      </c>
      <c r="AQ16" s="64">
        <v>3000</v>
      </c>
      <c r="AR16" s="65">
        <v>2534</v>
      </c>
    </row>
    <row r="17" spans="1:44" s="1" customFormat="1" x14ac:dyDescent="0.25">
      <c r="A17" s="35">
        <f t="shared" si="0"/>
        <v>15</v>
      </c>
      <c r="B17" s="6" t="s">
        <v>44</v>
      </c>
      <c r="C17" s="63">
        <v>694</v>
      </c>
      <c r="D17" s="64">
        <v>799</v>
      </c>
      <c r="E17" s="64">
        <v>-106</v>
      </c>
      <c r="F17" s="64">
        <v>673</v>
      </c>
      <c r="G17" s="64">
        <v>38</v>
      </c>
      <c r="H17" s="64">
        <v>3943</v>
      </c>
      <c r="I17" s="65">
        <v>1422</v>
      </c>
      <c r="J17" s="63">
        <v>638</v>
      </c>
      <c r="K17" s="64">
        <v>717</v>
      </c>
      <c r="L17" s="64">
        <v>-51</v>
      </c>
      <c r="M17" s="64">
        <v>688</v>
      </c>
      <c r="N17" s="64">
        <v>52</v>
      </c>
      <c r="O17" s="64">
        <v>3943</v>
      </c>
      <c r="P17" s="65">
        <v>1371</v>
      </c>
      <c r="Q17" s="63">
        <v>227</v>
      </c>
      <c r="R17" s="64">
        <v>280</v>
      </c>
      <c r="S17" s="64">
        <v>-54</v>
      </c>
      <c r="T17" s="64">
        <v>332</v>
      </c>
      <c r="U17" s="64">
        <v>97</v>
      </c>
      <c r="V17" s="64">
        <v>4334</v>
      </c>
      <c r="W17" s="65">
        <v>1708</v>
      </c>
      <c r="X17" s="63">
        <v>316</v>
      </c>
      <c r="Y17" s="64">
        <v>360</v>
      </c>
      <c r="Z17" s="64">
        <v>-44</v>
      </c>
      <c r="AA17" s="64">
        <v>228</v>
      </c>
      <c r="AB17" s="64">
        <v>23</v>
      </c>
      <c r="AC17" s="64">
        <v>4334</v>
      </c>
      <c r="AD17" s="65">
        <v>1664</v>
      </c>
      <c r="AE17" s="63">
        <v>1099</v>
      </c>
      <c r="AF17" s="64">
        <v>1274</v>
      </c>
      <c r="AG17" s="64">
        <f>AE17-AF17</f>
        <v>-175</v>
      </c>
      <c r="AH17" s="64">
        <v>280</v>
      </c>
      <c r="AI17" s="64">
        <v>5</v>
      </c>
      <c r="AJ17" s="64">
        <v>4334</v>
      </c>
      <c r="AK17" s="65">
        <v>1489</v>
      </c>
      <c r="AL17" s="63">
        <v>3698</v>
      </c>
      <c r="AM17" s="64">
        <v>3750</v>
      </c>
      <c r="AN17" s="64">
        <f>AL17-AM17</f>
        <v>-52</v>
      </c>
      <c r="AO17" s="64">
        <v>1117</v>
      </c>
      <c r="AP17" s="64">
        <v>847</v>
      </c>
      <c r="AQ17" s="64">
        <v>4334</v>
      </c>
      <c r="AR17" s="65">
        <v>1420</v>
      </c>
    </row>
    <row r="18" spans="1:44" s="1" customFormat="1" x14ac:dyDescent="0.25">
      <c r="A18" s="35">
        <f t="shared" si="0"/>
        <v>16</v>
      </c>
      <c r="B18" s="53" t="s">
        <v>45</v>
      </c>
      <c r="C18" s="63">
        <v>1052</v>
      </c>
      <c r="D18" s="64">
        <v>1205</v>
      </c>
      <c r="E18" s="64">
        <v>-153</v>
      </c>
      <c r="F18" s="64">
        <v>635</v>
      </c>
      <c r="G18" s="64">
        <v>567</v>
      </c>
      <c r="H18" s="64">
        <v>500</v>
      </c>
      <c r="I18" s="65">
        <v>814</v>
      </c>
      <c r="J18" s="63">
        <v>1084</v>
      </c>
      <c r="K18" s="64">
        <v>1256</v>
      </c>
      <c r="L18" s="64">
        <v>-172</v>
      </c>
      <c r="M18" s="64">
        <v>620</v>
      </c>
      <c r="N18" s="64">
        <v>560</v>
      </c>
      <c r="O18" s="64">
        <v>500</v>
      </c>
      <c r="P18" s="65">
        <v>643</v>
      </c>
      <c r="Q18" s="63">
        <v>1119</v>
      </c>
      <c r="R18" s="64">
        <v>1304</v>
      </c>
      <c r="S18" s="64">
        <v>-185</v>
      </c>
      <c r="T18" s="64">
        <v>670</v>
      </c>
      <c r="U18" s="64">
        <v>535</v>
      </c>
      <c r="V18" s="64">
        <v>500</v>
      </c>
      <c r="W18" s="65">
        <v>457</v>
      </c>
      <c r="X18" s="63">
        <v>1224</v>
      </c>
      <c r="Y18" s="64">
        <v>1250</v>
      </c>
      <c r="Z18" s="64">
        <v>-26</v>
      </c>
      <c r="AA18" s="64">
        <v>744</v>
      </c>
      <c r="AB18" s="64">
        <v>632</v>
      </c>
      <c r="AC18" s="64">
        <v>500</v>
      </c>
      <c r="AD18" s="65">
        <v>431</v>
      </c>
      <c r="AE18" s="63">
        <v>1244</v>
      </c>
      <c r="AF18" s="64">
        <v>1441</v>
      </c>
      <c r="AG18" s="64">
        <v>-197</v>
      </c>
      <c r="AH18" s="64">
        <v>880</v>
      </c>
      <c r="AI18" s="64">
        <v>640</v>
      </c>
      <c r="AJ18" s="64">
        <v>500</v>
      </c>
      <c r="AK18" s="65">
        <v>234</v>
      </c>
      <c r="AL18" s="63">
        <v>1420</v>
      </c>
      <c r="AM18" s="64">
        <v>1510</v>
      </c>
      <c r="AN18" s="64">
        <v>-90</v>
      </c>
      <c r="AO18" s="64">
        <v>1058</v>
      </c>
      <c r="AP18" s="64">
        <v>736</v>
      </c>
      <c r="AQ18" s="64">
        <v>500</v>
      </c>
      <c r="AR18" s="65">
        <v>144</v>
      </c>
    </row>
    <row r="19" spans="1:44" s="1" customFormat="1" x14ac:dyDescent="0.25">
      <c r="A19" s="35">
        <f t="shared" si="0"/>
        <v>17</v>
      </c>
      <c r="B19" s="53" t="s">
        <v>47</v>
      </c>
      <c r="C19" s="63">
        <v>132094</v>
      </c>
      <c r="D19" s="64">
        <v>133029</v>
      </c>
      <c r="E19" s="64">
        <v>-935</v>
      </c>
      <c r="F19" s="64">
        <v>166201</v>
      </c>
      <c r="G19" s="64">
        <v>61413</v>
      </c>
      <c r="H19" s="64">
        <v>5395</v>
      </c>
      <c r="I19" s="65">
        <v>106602</v>
      </c>
      <c r="J19" s="63">
        <v>34327</v>
      </c>
      <c r="K19" s="64">
        <v>34842</v>
      </c>
      <c r="L19" s="64">
        <v>-515</v>
      </c>
      <c r="M19" s="64">
        <v>2076</v>
      </c>
      <c r="N19" s="64">
        <v>28250</v>
      </c>
      <c r="O19" s="64">
        <v>5395</v>
      </c>
      <c r="P19" s="65">
        <v>77359</v>
      </c>
      <c r="Q19" s="63">
        <v>6954</v>
      </c>
      <c r="R19" s="64">
        <v>3711</v>
      </c>
      <c r="S19" s="64">
        <v>3243</v>
      </c>
      <c r="T19" s="64">
        <v>2200</v>
      </c>
      <c r="U19" s="64">
        <v>22821</v>
      </c>
      <c r="V19" s="64">
        <v>5395</v>
      </c>
      <c r="W19" s="65">
        <v>80485</v>
      </c>
      <c r="X19" s="63">
        <v>6156</v>
      </c>
      <c r="Y19" s="64">
        <v>5718</v>
      </c>
      <c r="Z19" s="64">
        <v>438</v>
      </c>
      <c r="AA19" s="90">
        <v>1912</v>
      </c>
      <c r="AB19" s="64">
        <v>22844</v>
      </c>
      <c r="AC19" s="64">
        <v>5395</v>
      </c>
      <c r="AD19" s="65">
        <v>80180</v>
      </c>
      <c r="AE19" s="63">
        <v>7032</v>
      </c>
      <c r="AF19" s="64">
        <v>6415</v>
      </c>
      <c r="AG19" s="64">
        <v>617</v>
      </c>
      <c r="AH19" s="90">
        <v>2270</v>
      </c>
      <c r="AI19" s="64">
        <v>22277</v>
      </c>
      <c r="AJ19" s="64">
        <v>5395</v>
      </c>
      <c r="AK19" s="65">
        <v>62024</v>
      </c>
      <c r="AL19" s="63">
        <v>3333</v>
      </c>
      <c r="AM19" s="64">
        <v>4937</v>
      </c>
      <c r="AN19" s="64">
        <v>-1604</v>
      </c>
      <c r="AO19" s="64">
        <v>1219</v>
      </c>
      <c r="AP19" s="64">
        <v>20818</v>
      </c>
      <c r="AQ19" s="64">
        <v>5806</v>
      </c>
      <c r="AR19" s="65">
        <v>59976</v>
      </c>
    </row>
    <row r="20" spans="1:44" s="1" customFormat="1" x14ac:dyDescent="0.25">
      <c r="A20" s="35">
        <f>A19+1</f>
        <v>18</v>
      </c>
      <c r="B20" s="53" t="s">
        <v>46</v>
      </c>
      <c r="C20" s="63">
        <v>3798</v>
      </c>
      <c r="D20" s="64">
        <v>4311</v>
      </c>
      <c r="E20" s="64">
        <f>C20-D20</f>
        <v>-513</v>
      </c>
      <c r="F20" s="64">
        <v>375</v>
      </c>
      <c r="G20" s="64">
        <v>335</v>
      </c>
      <c r="H20" s="64">
        <v>1104</v>
      </c>
      <c r="I20" s="65">
        <v>16176</v>
      </c>
      <c r="J20" s="63">
        <v>3648</v>
      </c>
      <c r="K20" s="64">
        <v>4920</v>
      </c>
      <c r="L20" s="64">
        <f>J20-K20</f>
        <v>-1272</v>
      </c>
      <c r="M20" s="64">
        <v>513</v>
      </c>
      <c r="N20" s="64">
        <v>270</v>
      </c>
      <c r="O20" s="64">
        <v>1104</v>
      </c>
      <c r="P20" s="65">
        <v>14841</v>
      </c>
      <c r="Q20" s="63">
        <v>5836</v>
      </c>
      <c r="R20" s="64">
        <v>7186</v>
      </c>
      <c r="S20" s="64">
        <f>Q20-R20</f>
        <v>-1350</v>
      </c>
      <c r="T20" s="64">
        <v>991</v>
      </c>
      <c r="U20" s="64">
        <v>351</v>
      </c>
      <c r="V20" s="64">
        <v>1104</v>
      </c>
      <c r="W20" s="65">
        <v>12890</v>
      </c>
      <c r="X20" s="63">
        <v>6604</v>
      </c>
      <c r="Y20" s="64">
        <v>7427</v>
      </c>
      <c r="Z20" s="64">
        <f>X20-Y20</f>
        <v>-823</v>
      </c>
      <c r="AA20" s="64">
        <v>1395</v>
      </c>
      <c r="AB20" s="64">
        <v>312</v>
      </c>
      <c r="AC20" s="64">
        <v>1104</v>
      </c>
      <c r="AD20" s="65">
        <v>12050</v>
      </c>
      <c r="AE20" s="63">
        <v>9789</v>
      </c>
      <c r="AF20" s="64">
        <v>9332</v>
      </c>
      <c r="AG20" s="64">
        <f>AE20-AF20</f>
        <v>457</v>
      </c>
      <c r="AH20" s="64">
        <v>1023</v>
      </c>
      <c r="AI20" s="64">
        <v>254</v>
      </c>
      <c r="AJ20" s="64">
        <v>1104</v>
      </c>
      <c r="AK20" s="65">
        <v>12843</v>
      </c>
      <c r="AL20" s="63">
        <v>16456</v>
      </c>
      <c r="AM20" s="64">
        <v>18642</v>
      </c>
      <c r="AN20" s="64">
        <f>AL20-AM20</f>
        <v>-2186</v>
      </c>
      <c r="AO20" s="64">
        <v>3413</v>
      </c>
      <c r="AP20" s="64">
        <v>404</v>
      </c>
      <c r="AQ20" s="64">
        <v>1104</v>
      </c>
      <c r="AR20" s="65">
        <v>10189</v>
      </c>
    </row>
    <row r="21" spans="1:44" s="1" customFormat="1" x14ac:dyDescent="0.25">
      <c r="A21" s="35">
        <f>A20+1</f>
        <v>19</v>
      </c>
      <c r="B21" s="53" t="s">
        <v>36</v>
      </c>
      <c r="C21" s="63">
        <v>68</v>
      </c>
      <c r="D21" s="64">
        <v>101</v>
      </c>
      <c r="E21" s="64">
        <v>-33</v>
      </c>
      <c r="F21" s="64">
        <v>45</v>
      </c>
      <c r="G21" s="64">
        <v>19</v>
      </c>
      <c r="H21" s="64">
        <v>50</v>
      </c>
      <c r="I21" s="65">
        <v>123</v>
      </c>
      <c r="J21" s="63">
        <v>65</v>
      </c>
      <c r="K21" s="64">
        <v>111</v>
      </c>
      <c r="L21" s="64">
        <v>-46</v>
      </c>
      <c r="M21" s="64">
        <v>42</v>
      </c>
      <c r="N21" s="64">
        <v>14</v>
      </c>
      <c r="O21" s="64">
        <v>50</v>
      </c>
      <c r="P21" s="65">
        <v>77</v>
      </c>
      <c r="Q21" s="63">
        <v>255</v>
      </c>
      <c r="R21" s="64">
        <v>105</v>
      </c>
      <c r="S21" s="64">
        <v>150</v>
      </c>
      <c r="T21" s="64">
        <v>21</v>
      </c>
      <c r="U21" s="64">
        <v>20</v>
      </c>
      <c r="V21" s="64">
        <v>50</v>
      </c>
      <c r="W21" s="65">
        <v>224</v>
      </c>
      <c r="X21" s="63">
        <v>45</v>
      </c>
      <c r="Y21" s="64">
        <v>108</v>
      </c>
      <c r="Z21" s="64">
        <v>-63</v>
      </c>
      <c r="AA21" s="64">
        <v>15</v>
      </c>
      <c r="AB21" s="64">
        <v>13</v>
      </c>
      <c r="AC21" s="64">
        <v>50</v>
      </c>
      <c r="AD21" s="65">
        <v>162</v>
      </c>
      <c r="AE21" s="63">
        <v>52</v>
      </c>
      <c r="AF21" s="64">
        <v>136</v>
      </c>
      <c r="AG21" s="64">
        <v>-84</v>
      </c>
      <c r="AH21" s="64">
        <v>13</v>
      </c>
      <c r="AI21" s="64">
        <v>18</v>
      </c>
      <c r="AJ21" s="64">
        <v>50</v>
      </c>
      <c r="AK21" s="65">
        <v>78</v>
      </c>
      <c r="AL21" s="63">
        <v>46</v>
      </c>
      <c r="AM21" s="64">
        <v>94</v>
      </c>
      <c r="AN21" s="64">
        <v>-48</v>
      </c>
      <c r="AO21" s="64">
        <v>57</v>
      </c>
      <c r="AP21" s="64">
        <v>18</v>
      </c>
      <c r="AQ21" s="64">
        <v>50</v>
      </c>
      <c r="AR21" s="65">
        <v>30</v>
      </c>
    </row>
    <row r="22" spans="1:44" s="84" customFormat="1" ht="14.95" thickBot="1" x14ac:dyDescent="0.3">
      <c r="A22" s="91">
        <f>A21+1</f>
        <v>20</v>
      </c>
      <c r="B22" s="92" t="s">
        <v>48</v>
      </c>
      <c r="C22" s="93">
        <v>223896.15274000002</v>
      </c>
      <c r="D22" s="94">
        <v>228492.26762999999</v>
      </c>
      <c r="E22" s="94">
        <v>-4596.114889999968</v>
      </c>
      <c r="F22" s="95">
        <v>152632</v>
      </c>
      <c r="G22" s="94">
        <v>66867</v>
      </c>
      <c r="H22" s="94">
        <v>4722</v>
      </c>
      <c r="I22" s="96">
        <v>28833</v>
      </c>
      <c r="J22" s="93">
        <v>236198.351</v>
      </c>
      <c r="K22" s="94">
        <v>248912.68130999999</v>
      </c>
      <c r="L22" s="94">
        <v>-12714.33030999999</v>
      </c>
      <c r="M22" s="95">
        <v>189095</v>
      </c>
      <c r="N22" s="94">
        <v>120424</v>
      </c>
      <c r="O22" s="94">
        <v>4722</v>
      </c>
      <c r="P22" s="96">
        <v>13853</v>
      </c>
      <c r="Q22" s="93">
        <v>200521.88003099998</v>
      </c>
      <c r="R22" s="94">
        <v>267994.78237399994</v>
      </c>
      <c r="S22" s="94">
        <v>-67472.902342999965</v>
      </c>
      <c r="T22" s="95">
        <v>194271</v>
      </c>
      <c r="U22" s="94">
        <v>109863</v>
      </c>
      <c r="V22" s="94">
        <v>49722</v>
      </c>
      <c r="W22" s="96">
        <v>-10089</v>
      </c>
      <c r="X22" s="93">
        <v>253819.50717</v>
      </c>
      <c r="Y22" s="94">
        <v>288264.99545799999</v>
      </c>
      <c r="Z22" s="94">
        <v>-34445.488287999993</v>
      </c>
      <c r="AA22" s="95">
        <v>261945</v>
      </c>
      <c r="AB22" s="94">
        <v>144371</v>
      </c>
      <c r="AC22" s="94">
        <v>49722</v>
      </c>
      <c r="AD22" s="96">
        <v>-49285</v>
      </c>
      <c r="AE22" s="93">
        <v>314649.88095600001</v>
      </c>
      <c r="AF22" s="94">
        <v>313809.97030400002</v>
      </c>
      <c r="AG22" s="94">
        <v>839.91065199999139</v>
      </c>
      <c r="AH22" s="95">
        <v>231169</v>
      </c>
      <c r="AI22" s="94">
        <v>162065</v>
      </c>
      <c r="AJ22" s="94">
        <v>102815</v>
      </c>
      <c r="AK22" s="96">
        <v>13239</v>
      </c>
      <c r="AL22" s="93">
        <v>314140.19736799999</v>
      </c>
      <c r="AM22" s="94">
        <v>332004.72109599999</v>
      </c>
      <c r="AN22" s="94">
        <v>-17864.523728</v>
      </c>
      <c r="AO22" s="94">
        <v>353067</v>
      </c>
      <c r="AP22" s="94">
        <v>185859</v>
      </c>
      <c r="AQ22" s="94">
        <v>102815</v>
      </c>
      <c r="AR22" s="96">
        <v>-4626</v>
      </c>
    </row>
  </sheetData>
  <mergeCells count="8">
    <mergeCell ref="A1:A2"/>
    <mergeCell ref="AE1:AK1"/>
    <mergeCell ref="AL1:AR1"/>
    <mergeCell ref="B1:B2"/>
    <mergeCell ref="C1:I1"/>
    <mergeCell ref="J1:P1"/>
    <mergeCell ref="Q1:W1"/>
    <mergeCell ref="X1:A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"/>
  <sheetViews>
    <sheetView tabSelected="1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S22" sqref="S22"/>
    </sheetView>
  </sheetViews>
  <sheetFormatPr defaultColWidth="9.125" defaultRowHeight="14.3" x14ac:dyDescent="0.25"/>
  <cols>
    <col min="1" max="1" width="41.75" style="27" customWidth="1"/>
    <col min="2" max="2" width="13" style="2" customWidth="1"/>
    <col min="3" max="3" width="13.375" style="2" customWidth="1"/>
    <col min="4" max="4" width="14.375" style="2" customWidth="1"/>
    <col min="5" max="5" width="13.875" style="2" customWidth="1"/>
    <col min="6" max="6" width="13.75" style="2" customWidth="1"/>
    <col min="7" max="7" width="12.75" style="2" customWidth="1"/>
    <col min="8" max="11" width="11.25" style="2" customWidth="1"/>
    <col min="12" max="12" width="13.75" style="2" customWidth="1"/>
    <col min="13" max="13" width="12.375" style="2" customWidth="1"/>
    <col min="14" max="17" width="11.25" style="2" customWidth="1"/>
    <col min="18" max="19" width="13.625" style="2" customWidth="1"/>
    <col min="20" max="23" width="11.25" style="2" customWidth="1"/>
    <col min="24" max="24" width="14.125" style="2" customWidth="1"/>
    <col min="25" max="25" width="12.375" style="2" customWidth="1"/>
    <col min="26" max="29" width="11.25" style="2" customWidth="1"/>
    <col min="30" max="30" width="13.625" style="2" customWidth="1"/>
    <col min="31" max="31" width="13.375" style="2" customWidth="1"/>
    <col min="32" max="35" width="11.25" style="2" customWidth="1"/>
    <col min="36" max="37" width="14" style="2" customWidth="1"/>
    <col min="38" max="16384" width="9.125" style="2"/>
  </cols>
  <sheetData>
    <row r="1" spans="1:37" ht="15.8" thickBot="1" x14ac:dyDescent="0.3">
      <c r="A1" s="26"/>
      <c r="B1" s="131">
        <v>2020</v>
      </c>
      <c r="C1" s="132"/>
      <c r="D1" s="132"/>
      <c r="E1" s="132"/>
      <c r="F1" s="132"/>
      <c r="G1" s="133"/>
      <c r="H1" s="131">
        <v>2021</v>
      </c>
      <c r="I1" s="132"/>
      <c r="J1" s="132"/>
      <c r="K1" s="132"/>
      <c r="L1" s="132"/>
      <c r="M1" s="133"/>
      <c r="N1" s="131">
        <v>2022</v>
      </c>
      <c r="O1" s="132"/>
      <c r="P1" s="132"/>
      <c r="Q1" s="132"/>
      <c r="R1" s="132"/>
      <c r="S1" s="133"/>
      <c r="T1" s="131">
        <v>2023</v>
      </c>
      <c r="U1" s="132"/>
      <c r="V1" s="132"/>
      <c r="W1" s="132"/>
      <c r="X1" s="132"/>
      <c r="Y1" s="133"/>
      <c r="Z1" s="131">
        <v>2024</v>
      </c>
      <c r="AA1" s="132"/>
      <c r="AB1" s="132"/>
      <c r="AC1" s="132"/>
      <c r="AD1" s="132"/>
      <c r="AE1" s="133"/>
      <c r="AF1" s="131">
        <v>2025</v>
      </c>
      <c r="AG1" s="132"/>
      <c r="AH1" s="132"/>
      <c r="AI1" s="132"/>
      <c r="AJ1" s="132"/>
      <c r="AK1" s="133"/>
    </row>
    <row r="2" spans="1:37" ht="40.6" customHeight="1" x14ac:dyDescent="0.25">
      <c r="A2" s="136" t="s">
        <v>4</v>
      </c>
      <c r="B2" s="134" t="s">
        <v>14</v>
      </c>
      <c r="C2" s="135"/>
      <c r="D2" s="135" t="s">
        <v>13</v>
      </c>
      <c r="E2" s="135"/>
      <c r="F2" s="127" t="s">
        <v>21</v>
      </c>
      <c r="G2" s="129" t="s">
        <v>22</v>
      </c>
      <c r="H2" s="134" t="s">
        <v>14</v>
      </c>
      <c r="I2" s="135"/>
      <c r="J2" s="135" t="s">
        <v>13</v>
      </c>
      <c r="K2" s="135"/>
      <c r="L2" s="127" t="s">
        <v>21</v>
      </c>
      <c r="M2" s="129" t="s">
        <v>22</v>
      </c>
      <c r="N2" s="134" t="s">
        <v>14</v>
      </c>
      <c r="O2" s="135"/>
      <c r="P2" s="135" t="s">
        <v>13</v>
      </c>
      <c r="Q2" s="135"/>
      <c r="R2" s="127" t="s">
        <v>21</v>
      </c>
      <c r="S2" s="129" t="s">
        <v>22</v>
      </c>
      <c r="T2" s="134" t="s">
        <v>14</v>
      </c>
      <c r="U2" s="135"/>
      <c r="V2" s="135" t="s">
        <v>13</v>
      </c>
      <c r="W2" s="135"/>
      <c r="X2" s="127" t="s">
        <v>21</v>
      </c>
      <c r="Y2" s="129" t="s">
        <v>22</v>
      </c>
      <c r="Z2" s="134" t="s">
        <v>14</v>
      </c>
      <c r="AA2" s="135"/>
      <c r="AB2" s="135" t="s">
        <v>13</v>
      </c>
      <c r="AC2" s="135"/>
      <c r="AD2" s="127" t="s">
        <v>21</v>
      </c>
      <c r="AE2" s="129" t="s">
        <v>22</v>
      </c>
      <c r="AF2" s="134" t="s">
        <v>14</v>
      </c>
      <c r="AG2" s="135"/>
      <c r="AH2" s="135" t="s">
        <v>13</v>
      </c>
      <c r="AI2" s="135"/>
      <c r="AJ2" s="127" t="s">
        <v>21</v>
      </c>
      <c r="AK2" s="129" t="s">
        <v>22</v>
      </c>
    </row>
    <row r="3" spans="1:37" ht="57.1" x14ac:dyDescent="0.25">
      <c r="A3" s="137"/>
      <c r="B3" s="4" t="s">
        <v>11</v>
      </c>
      <c r="C3" s="3" t="s">
        <v>12</v>
      </c>
      <c r="D3" s="3" t="s">
        <v>15</v>
      </c>
      <c r="E3" s="3" t="s">
        <v>16</v>
      </c>
      <c r="F3" s="128"/>
      <c r="G3" s="130"/>
      <c r="H3" s="4" t="s">
        <v>11</v>
      </c>
      <c r="I3" s="3" t="s">
        <v>12</v>
      </c>
      <c r="J3" s="3" t="s">
        <v>15</v>
      </c>
      <c r="K3" s="3" t="s">
        <v>16</v>
      </c>
      <c r="L3" s="128"/>
      <c r="M3" s="130"/>
      <c r="N3" s="4" t="s">
        <v>11</v>
      </c>
      <c r="O3" s="3" t="s">
        <v>12</v>
      </c>
      <c r="P3" s="3" t="s">
        <v>15</v>
      </c>
      <c r="Q3" s="3" t="s">
        <v>16</v>
      </c>
      <c r="R3" s="128"/>
      <c r="S3" s="130"/>
      <c r="T3" s="4" t="s">
        <v>11</v>
      </c>
      <c r="U3" s="3" t="s">
        <v>12</v>
      </c>
      <c r="V3" s="3" t="s">
        <v>15</v>
      </c>
      <c r="W3" s="3" t="s">
        <v>16</v>
      </c>
      <c r="X3" s="128"/>
      <c r="Y3" s="130"/>
      <c r="Z3" s="4" t="s">
        <v>11</v>
      </c>
      <c r="AA3" s="3" t="s">
        <v>12</v>
      </c>
      <c r="AB3" s="3" t="s">
        <v>15</v>
      </c>
      <c r="AC3" s="3" t="s">
        <v>16</v>
      </c>
      <c r="AD3" s="128"/>
      <c r="AE3" s="130"/>
      <c r="AF3" s="4" t="s">
        <v>11</v>
      </c>
      <c r="AG3" s="3" t="s">
        <v>12</v>
      </c>
      <c r="AH3" s="3" t="s">
        <v>15</v>
      </c>
      <c r="AI3" s="3" t="s">
        <v>16</v>
      </c>
      <c r="AJ3" s="128"/>
      <c r="AK3" s="130"/>
    </row>
    <row r="4" spans="1:37" x14ac:dyDescent="0.25">
      <c r="A4" s="25" t="s">
        <v>24</v>
      </c>
      <c r="B4" s="15">
        <v>-0.65620000000000001</v>
      </c>
      <c r="C4" s="15">
        <v>-5.9700000000000003E-2</v>
      </c>
      <c r="D4" s="15">
        <v>4.1776</v>
      </c>
      <c r="E4" s="15">
        <v>1.8997999999999999</v>
      </c>
      <c r="F4" s="15">
        <v>2.4342000000000001</v>
      </c>
      <c r="G4" s="15">
        <v>0.85199999999999998</v>
      </c>
      <c r="H4" s="15">
        <v>-0.1176</v>
      </c>
      <c r="I4" s="15">
        <v>-1.15E-2</v>
      </c>
      <c r="J4" s="15">
        <v>7.8372999999999999</v>
      </c>
      <c r="K4" s="15">
        <v>4.1999000000000004</v>
      </c>
      <c r="L4" s="15">
        <v>2.6334</v>
      </c>
      <c r="M4" s="15">
        <v>0.96440000000000003</v>
      </c>
      <c r="N4" s="15">
        <v>0.16009999999999999</v>
      </c>
      <c r="O4" s="15">
        <v>1.2E-2</v>
      </c>
      <c r="P4" s="15">
        <v>15.661199999999999</v>
      </c>
      <c r="Q4" s="15">
        <v>12.176</v>
      </c>
      <c r="R4" s="15">
        <v>2.9479000000000002</v>
      </c>
      <c r="S4" s="15">
        <v>1.0227999999999999</v>
      </c>
      <c r="T4" s="15">
        <v>-0.1205</v>
      </c>
      <c r="U4" s="15">
        <v>-1.12E-2</v>
      </c>
      <c r="V4" s="15">
        <v>10.678800000000001</v>
      </c>
      <c r="W4" s="15">
        <v>8.0029000000000003</v>
      </c>
      <c r="X4" s="15">
        <v>3.3687999999999998</v>
      </c>
      <c r="Y4" s="15">
        <v>0.97070000000000001</v>
      </c>
      <c r="Z4" s="15">
        <v>-0.26800000000000002</v>
      </c>
      <c r="AA4" s="15">
        <v>-2.3099999999999999E-2</v>
      </c>
      <c r="AB4" s="15">
        <v>2.7604000000000002</v>
      </c>
      <c r="AC4" s="15">
        <v>1.9651000000000001</v>
      </c>
      <c r="AD4" s="15">
        <v>3.8050000000000002</v>
      </c>
      <c r="AE4" s="15">
        <v>0.95199999999999996</v>
      </c>
      <c r="AF4" s="15">
        <v>-0.3463</v>
      </c>
      <c r="AG4" s="15">
        <v>-3.5200000000000002E-2</v>
      </c>
      <c r="AH4" s="15">
        <v>2.3650000000000002</v>
      </c>
      <c r="AI4" s="15">
        <v>1.3703000000000001</v>
      </c>
      <c r="AJ4" s="15">
        <v>4.3673000000000002</v>
      </c>
      <c r="AK4" s="15">
        <v>0.93930000000000002</v>
      </c>
    </row>
    <row r="5" spans="1:37" x14ac:dyDescent="0.25">
      <c r="A5" s="43" t="s">
        <v>25</v>
      </c>
      <c r="B5" s="14">
        <v>5.9962999238219614E-2</v>
      </c>
      <c r="C5" s="15">
        <v>2.5203203688541464E-3</v>
      </c>
      <c r="D5" s="15">
        <v>2.0449777777777776</v>
      </c>
      <c r="E5" s="15">
        <v>1.8005333333333333</v>
      </c>
      <c r="F5" s="15">
        <v>0.14759197339712657</v>
      </c>
      <c r="G5" s="16">
        <v>1.0637879138689512</v>
      </c>
      <c r="H5" s="14">
        <v>0.2402118403631549</v>
      </c>
      <c r="I5" s="15">
        <v>1.1484742022851924E-2</v>
      </c>
      <c r="J5" s="15">
        <v>1.7988243551500263</v>
      </c>
      <c r="K5" s="15">
        <v>1.6703807685558869</v>
      </c>
      <c r="L5" s="15">
        <v>0.14550806418795187</v>
      </c>
      <c r="M5" s="16">
        <v>1.3161563355738113</v>
      </c>
      <c r="N5" s="14">
        <v>0.33646364368124498</v>
      </c>
      <c r="O5" s="15">
        <v>2.2209037696919249E-2</v>
      </c>
      <c r="P5" s="15">
        <v>2.0484609747160132</v>
      </c>
      <c r="Q5" s="15">
        <v>1.9247893001099303</v>
      </c>
      <c r="R5" s="15">
        <v>0.12455834300034535</v>
      </c>
      <c r="S5" s="16">
        <v>1.5070764253942579</v>
      </c>
      <c r="T5" s="14">
        <v>7.3025689819219794E-2</v>
      </c>
      <c r="U5" s="15">
        <v>2.6970753863318898E-3</v>
      </c>
      <c r="V5" s="15">
        <v>2.0929364645912982</v>
      </c>
      <c r="W5" s="15">
        <v>1.9858001092299291</v>
      </c>
      <c r="X5" s="15">
        <v>0.12376237623762376</v>
      </c>
      <c r="Y5" s="16">
        <v>1.0787785476007186</v>
      </c>
      <c r="Z5" s="14">
        <v>0.21962943541338928</v>
      </c>
      <c r="AA5" s="15">
        <v>1.091289658586578E-2</v>
      </c>
      <c r="AB5" s="15">
        <v>2.0907678244972576</v>
      </c>
      <c r="AC5" s="15">
        <v>2.003564899451554</v>
      </c>
      <c r="AD5" s="15">
        <v>0.11325875680698981</v>
      </c>
      <c r="AE5" s="16">
        <v>1.2814424907604436</v>
      </c>
      <c r="AF5" s="14">
        <v>0.13744160977362557</v>
      </c>
      <c r="AG5" s="15">
        <v>6.5848651393796455E-3</v>
      </c>
      <c r="AH5" s="15">
        <v>7.506849315068493</v>
      </c>
      <c r="AI5" s="15">
        <v>7.2191780821917808</v>
      </c>
      <c r="AJ5" s="15">
        <v>7.5265438926451794E-2</v>
      </c>
      <c r="AK5" s="16">
        <v>1.1593418037908769</v>
      </c>
    </row>
    <row r="6" spans="1:37" x14ac:dyDescent="0.25">
      <c r="A6" s="43" t="s">
        <v>26</v>
      </c>
      <c r="B6" s="17">
        <v>-0.24909722381949076</v>
      </c>
      <c r="C6" s="18">
        <v>-5.5634129790349658E-2</v>
      </c>
      <c r="D6" s="18">
        <v>1.3513916175507532</v>
      </c>
      <c r="E6" s="18">
        <v>0.84895219384413878</v>
      </c>
      <c r="F6" s="18">
        <v>0.90471445408764595</v>
      </c>
      <c r="G6" s="19">
        <v>-0.9956251680436754</v>
      </c>
      <c r="H6" s="17">
        <v>-0.54997886192610135</v>
      </c>
      <c r="I6" s="18">
        <v>-0.119752</v>
      </c>
      <c r="J6" s="18">
        <v>0.99500362831753131</v>
      </c>
      <c r="K6" s="18">
        <v>0.73752394094764517</v>
      </c>
      <c r="L6" s="18">
        <v>1.335672</v>
      </c>
      <c r="M6" s="19">
        <v>-0.95778693357985523</v>
      </c>
      <c r="N6" s="17">
        <v>-0.23689104533491487</v>
      </c>
      <c r="O6" s="18">
        <v>-6.0741400499291318E-2</v>
      </c>
      <c r="P6" s="18">
        <v>0.91462184557083737</v>
      </c>
      <c r="Q6" s="18">
        <v>0.46749182228674313</v>
      </c>
      <c r="R6" s="18">
        <v>1.5458161871443192</v>
      </c>
      <c r="S6" s="19">
        <v>-0.98286740951859608</v>
      </c>
      <c r="T6" s="17">
        <v>-0.59840786178070604</v>
      </c>
      <c r="U6" s="18">
        <v>-0.19492422935372397</v>
      </c>
      <c r="V6" s="18">
        <v>0.62175244977711441</v>
      </c>
      <c r="W6" s="18">
        <v>0.56418514227362881</v>
      </c>
      <c r="X6" s="18">
        <v>1.8678965019116214</v>
      </c>
      <c r="Y6" s="19">
        <v>-0.93255623261685039</v>
      </c>
      <c r="Z6" s="17">
        <v>-0.11639440537577052</v>
      </c>
      <c r="AA6" s="18">
        <v>-4.1036517142841997E-2</v>
      </c>
      <c r="AB6" s="18">
        <v>0.54105234058238116</v>
      </c>
      <c r="AC6" s="18">
        <v>0.47912827128639884</v>
      </c>
      <c r="AD6" s="18">
        <v>2.1908907279677234</v>
      </c>
      <c r="AE6" s="19">
        <v>-1.033280111023178</v>
      </c>
      <c r="AF6" s="17">
        <v>-0.90570294090097514</v>
      </c>
      <c r="AG6" s="18">
        <v>-0.49901853769844484</v>
      </c>
      <c r="AH6" s="18">
        <v>0.61805661704013937</v>
      </c>
      <c r="AI6" s="18">
        <v>0.51431475650392833</v>
      </c>
      <c r="AJ6" s="18">
        <v>3.8959105400288059</v>
      </c>
      <c r="AK6" s="19">
        <v>-0.87085208890909083</v>
      </c>
    </row>
    <row r="7" spans="1:37" x14ac:dyDescent="0.25">
      <c r="A7" s="24" t="s">
        <v>27</v>
      </c>
      <c r="B7" s="17">
        <v>-0.02</v>
      </c>
      <c r="C7" s="18">
        <v>-0.02</v>
      </c>
      <c r="D7" s="18">
        <v>0.68</v>
      </c>
      <c r="E7" s="18">
        <v>0.04</v>
      </c>
      <c r="F7" s="18">
        <v>1.22</v>
      </c>
      <c r="G7" s="19">
        <v>0.98330647809452532</v>
      </c>
      <c r="H7" s="17">
        <v>-7.0000000000000007E-2</v>
      </c>
      <c r="I7" s="18">
        <v>-7.7055993000874887E-2</v>
      </c>
      <c r="J7" s="18">
        <v>0.87</v>
      </c>
      <c r="K7" s="18">
        <v>0.57999999999999996</v>
      </c>
      <c r="L7" s="18">
        <v>1.36</v>
      </c>
      <c r="M7" s="19">
        <v>0.94807970053349844</v>
      </c>
      <c r="N7" s="17">
        <v>-0.09</v>
      </c>
      <c r="O7" s="18">
        <v>0.12511930585683298</v>
      </c>
      <c r="P7" s="18">
        <v>1.17</v>
      </c>
      <c r="Q7" s="18">
        <v>0.37</v>
      </c>
      <c r="R7" s="18">
        <v>1.1200000000000001</v>
      </c>
      <c r="S7" s="19">
        <v>1.0751486999822859</v>
      </c>
      <c r="T7" s="17">
        <v>-0.08</v>
      </c>
      <c r="U7" s="18">
        <v>-0.11</v>
      </c>
      <c r="V7" s="18">
        <v>0.77</v>
      </c>
      <c r="W7" s="18">
        <v>0.71</v>
      </c>
      <c r="X7" s="18">
        <v>1.23</v>
      </c>
      <c r="Y7" s="19">
        <v>0.91535213289876094</v>
      </c>
      <c r="Z7" s="17">
        <v>-0.06</v>
      </c>
      <c r="AA7" s="18">
        <v>-0.08</v>
      </c>
      <c r="AB7" s="18">
        <v>0.64</v>
      </c>
      <c r="AC7" s="18">
        <v>0.6</v>
      </c>
      <c r="AD7" s="18">
        <v>1.46</v>
      </c>
      <c r="AE7" s="19">
        <v>0.94894811045135918</v>
      </c>
      <c r="AF7" s="17">
        <v>-0.18</v>
      </c>
      <c r="AG7" s="18">
        <v>-0.2896663854455232</v>
      </c>
      <c r="AH7" s="18">
        <v>0.48</v>
      </c>
      <c r="AI7" s="18">
        <v>0.4</v>
      </c>
      <c r="AJ7" s="18">
        <v>2.17</v>
      </c>
      <c r="AK7" s="19">
        <v>0.85787390951217946</v>
      </c>
    </row>
    <row r="8" spans="1:37" x14ac:dyDescent="0.25">
      <c r="A8" s="24" t="s">
        <v>28</v>
      </c>
      <c r="B8" s="20">
        <v>1.4189286866013544E-2</v>
      </c>
      <c r="C8" s="21">
        <v>7.459152953555666E-3</v>
      </c>
      <c r="D8" s="21">
        <v>2.5236240543241095</v>
      </c>
      <c r="E8" s="21">
        <v>2.4999490201676218</v>
      </c>
      <c r="F8" s="21">
        <v>0.18129366030456259</v>
      </c>
      <c r="G8" s="22">
        <v>1.0176954616145908</v>
      </c>
      <c r="H8" s="20">
        <v>1.6330772171459645E-2</v>
      </c>
      <c r="I8" s="21">
        <v>8.8482924808476627E-3</v>
      </c>
      <c r="J8" s="21">
        <v>1.78513073864321</v>
      </c>
      <c r="K8" s="21">
        <v>1.7571032654536691</v>
      </c>
      <c r="L8" s="21">
        <v>0.17304786188145097</v>
      </c>
      <c r="M8" s="22">
        <v>1.0179128738621586</v>
      </c>
      <c r="N8" s="20">
        <v>3.284126041645339E-2</v>
      </c>
      <c r="O8" s="21">
        <v>2.7464107459313224E-2</v>
      </c>
      <c r="P8" s="21">
        <v>4.4796871282417321</v>
      </c>
      <c r="Q8" s="21">
        <v>4.440548417796812</v>
      </c>
      <c r="R8" s="21">
        <v>0.26844852334763042</v>
      </c>
      <c r="S8" s="22">
        <v>1.037674431769934</v>
      </c>
      <c r="T8" s="21">
        <v>5.569760710150521E-2</v>
      </c>
      <c r="U8" s="21">
        <v>5.1604972761558877E-2</v>
      </c>
      <c r="V8" s="21">
        <v>2.7987148889296862</v>
      </c>
      <c r="W8" s="21">
        <v>2.7795850927115842</v>
      </c>
      <c r="X8" s="21">
        <v>0.45893560553149881</v>
      </c>
      <c r="Y8" s="22">
        <v>1.0637423446389156</v>
      </c>
      <c r="Z8" s="20">
        <v>3.4552598943168339E-2</v>
      </c>
      <c r="AA8" s="21">
        <v>2.8961558777586639E-2</v>
      </c>
      <c r="AB8" s="21">
        <v>2.1574859801109763</v>
      </c>
      <c r="AC8" s="21">
        <v>2.1405931226161261</v>
      </c>
      <c r="AD8" s="21">
        <v>0.47953087528705923</v>
      </c>
      <c r="AE8" s="22">
        <v>1.0383824421819163</v>
      </c>
      <c r="AF8" s="20">
        <v>6.8929945954096961E-2</v>
      </c>
      <c r="AG8" s="21">
        <v>5.5273564709341791E-2</v>
      </c>
      <c r="AH8" s="21">
        <v>2.0603109802346853</v>
      </c>
      <c r="AI8" s="21">
        <v>2.0429103645205906</v>
      </c>
      <c r="AJ8" s="21">
        <v>0.33623080072880968</v>
      </c>
      <c r="AK8" s="22">
        <v>1.0809648541234183</v>
      </c>
    </row>
    <row r="9" spans="1:37" x14ac:dyDescent="0.25">
      <c r="A9" s="25" t="s">
        <v>37</v>
      </c>
      <c r="B9" s="14">
        <v>-0.3</v>
      </c>
      <c r="C9" s="15">
        <v>-0.01</v>
      </c>
      <c r="D9" s="15">
        <v>7.39</v>
      </c>
      <c r="E9" s="15">
        <v>7.39</v>
      </c>
      <c r="F9" s="15">
        <v>7.0000000000000007E-2</v>
      </c>
      <c r="G9" s="16">
        <v>0.79</v>
      </c>
      <c r="H9" s="14">
        <v>-0.3</v>
      </c>
      <c r="I9" s="15">
        <v>-0.01</v>
      </c>
      <c r="J9" s="15">
        <v>3.88</v>
      </c>
      <c r="K9" s="15">
        <v>3.88</v>
      </c>
      <c r="L9" s="15">
        <v>0.06</v>
      </c>
      <c r="M9" s="16">
        <v>0.75</v>
      </c>
      <c r="N9" s="14">
        <v>-0.24</v>
      </c>
      <c r="O9" s="15">
        <v>-0.01</v>
      </c>
      <c r="P9" s="15">
        <v>5.51</v>
      </c>
      <c r="Q9" s="15">
        <v>5.5</v>
      </c>
      <c r="R9" s="15">
        <v>0.04</v>
      </c>
      <c r="S9" s="16">
        <v>0.8</v>
      </c>
      <c r="T9" s="14">
        <v>-0.22</v>
      </c>
      <c r="U9" s="15">
        <v>-0.01</v>
      </c>
      <c r="V9" s="15">
        <v>3.98</v>
      </c>
      <c r="W9" s="15">
        <v>3.57</v>
      </c>
      <c r="X9" s="15">
        <v>0.03</v>
      </c>
      <c r="Y9" s="16">
        <v>0.83</v>
      </c>
      <c r="Z9" s="14">
        <v>-0.32</v>
      </c>
      <c r="AA9" s="15" t="s">
        <v>30</v>
      </c>
      <c r="AB9" s="15">
        <v>0.87</v>
      </c>
      <c r="AC9" s="15">
        <v>0.76</v>
      </c>
      <c r="AD9" s="15">
        <v>0.09</v>
      </c>
      <c r="AE9" s="16">
        <v>0.81</v>
      </c>
      <c r="AF9" s="14">
        <v>-0.4</v>
      </c>
      <c r="AG9" s="15">
        <v>-0.02</v>
      </c>
      <c r="AH9" s="15">
        <v>3.39</v>
      </c>
      <c r="AI9" s="15">
        <v>3.34</v>
      </c>
      <c r="AJ9" s="15">
        <v>0.03</v>
      </c>
      <c r="AK9" s="16">
        <v>0.69</v>
      </c>
    </row>
    <row r="10" spans="1:37" s="8" customFormat="1" x14ac:dyDescent="0.25">
      <c r="A10" s="97" t="s">
        <v>38</v>
      </c>
      <c r="B10" s="11">
        <v>-0.1013631320336028</v>
      </c>
      <c r="C10" s="12">
        <v>-0.1129634127492327</v>
      </c>
      <c r="D10" s="12">
        <v>2.4780561122244489</v>
      </c>
      <c r="E10" s="12">
        <v>2.0807615230460921</v>
      </c>
      <c r="F10" s="12">
        <v>0.39947890216167281</v>
      </c>
      <c r="G10" s="13">
        <v>0.90903356927605294</v>
      </c>
      <c r="H10" s="23">
        <v>-2.7371317289310537E-2</v>
      </c>
      <c r="I10" s="12">
        <v>-3.5011541010581161E-2</v>
      </c>
      <c r="J10" s="12">
        <v>2.7720504009163802</v>
      </c>
      <c r="K10" s="12">
        <v>2.304009163802978</v>
      </c>
      <c r="L10" s="12">
        <v>0.34668738716091141</v>
      </c>
      <c r="M10" s="13">
        <v>0.9654251220138711</v>
      </c>
      <c r="N10" s="11">
        <v>0.11761383692199082</v>
      </c>
      <c r="O10" s="12">
        <v>0.1599247412982126</v>
      </c>
      <c r="P10" s="12">
        <v>3.1962310890913916</v>
      </c>
      <c r="Q10" s="12">
        <v>2.8618066000176943</v>
      </c>
      <c r="R10" s="12">
        <v>0.31178605026206158</v>
      </c>
      <c r="S10" s="13">
        <v>1.1417926768307922</v>
      </c>
      <c r="T10" s="11">
        <v>0.17316191241462434</v>
      </c>
      <c r="U10" s="12">
        <v>0.25087740322884389</v>
      </c>
      <c r="V10" s="12">
        <v>3.6033571128829207</v>
      </c>
      <c r="W10" s="12">
        <v>3.2922366764582458</v>
      </c>
      <c r="X10" s="12">
        <v>0.25099724366985671</v>
      </c>
      <c r="Y10" s="13">
        <v>1.2369396746005206</v>
      </c>
      <c r="Z10" s="11">
        <v>0.1008732781704581</v>
      </c>
      <c r="AA10" s="12">
        <v>0.16045663852647735</v>
      </c>
      <c r="AB10" s="12">
        <v>3.1657009000123288</v>
      </c>
      <c r="AC10" s="12">
        <v>2.7131056589816298</v>
      </c>
      <c r="AD10" s="12">
        <v>0.20364543361473522</v>
      </c>
      <c r="AE10" s="13">
        <v>1.1245960550840071</v>
      </c>
      <c r="AF10" s="11">
        <v>7.2987642914886242E-2</v>
      </c>
      <c r="AG10" s="12">
        <v>0.12620564330930367</v>
      </c>
      <c r="AH10" s="12">
        <v>1.8211903967989329</v>
      </c>
      <c r="AI10" s="12">
        <v>1.5158386128709569</v>
      </c>
      <c r="AJ10" s="12">
        <v>0.28989356391157617</v>
      </c>
      <c r="AK10" s="13">
        <v>1.0874535617223926</v>
      </c>
    </row>
    <row r="11" spans="1:37" s="9" customFormat="1" x14ac:dyDescent="0.25">
      <c r="A11" s="43" t="s">
        <v>49</v>
      </c>
      <c r="B11" s="14">
        <v>-0.24</v>
      </c>
      <c r="C11" s="15">
        <v>-0.34599999999999997</v>
      </c>
      <c r="D11" s="15">
        <v>1.139</v>
      </c>
      <c r="E11" s="15">
        <v>0.85099999999999998</v>
      </c>
      <c r="F11" s="15">
        <f>7077/9977</f>
        <v>0.70933146236343592</v>
      </c>
      <c r="G11" s="16">
        <v>0.82799999999999996</v>
      </c>
      <c r="H11" s="14">
        <v>-0.216</v>
      </c>
      <c r="I11" s="15">
        <v>-0.61799999999999999</v>
      </c>
      <c r="J11" s="15">
        <v>0.998</v>
      </c>
      <c r="K11" s="15">
        <v>0.72399999999999998</v>
      </c>
      <c r="L11" s="15">
        <f>7281/9077</f>
        <v>0.8021372700231354</v>
      </c>
      <c r="M11" s="16">
        <v>0.84</v>
      </c>
      <c r="N11" s="14">
        <v>3.1E-2</v>
      </c>
      <c r="O11" s="15">
        <v>0.115</v>
      </c>
      <c r="P11" s="15">
        <v>1.0640000000000001</v>
      </c>
      <c r="Q11" s="15">
        <v>0.77700000000000002</v>
      </c>
      <c r="R11" s="15">
        <f>6924/8960</f>
        <v>0.77276785714285712</v>
      </c>
      <c r="S11" s="16">
        <v>1.0309999999999999</v>
      </c>
      <c r="T11" s="14">
        <v>-0.28799999999999998</v>
      </c>
      <c r="U11" s="15">
        <v>-2.3220000000000001</v>
      </c>
      <c r="V11" s="15">
        <v>0.84</v>
      </c>
      <c r="W11" s="15">
        <v>0.55500000000000005</v>
      </c>
      <c r="X11" s="15">
        <f>6665/7279</f>
        <v>0.91564775381233687</v>
      </c>
      <c r="Y11" s="16">
        <v>0.78800000000000003</v>
      </c>
      <c r="Z11" s="14">
        <v>-7.0999999999999994E-2</v>
      </c>
      <c r="AA11" s="15">
        <v>-3.7250000000000001</v>
      </c>
      <c r="AB11" s="15">
        <v>0.79800000000000004</v>
      </c>
      <c r="AC11" s="15">
        <v>0.52</v>
      </c>
      <c r="AD11" s="15">
        <f>6585/6716</f>
        <v>0.98049434187016082</v>
      </c>
      <c r="AE11" s="16">
        <v>0.93899999999999995</v>
      </c>
      <c r="AF11" s="117">
        <v>2E-3</v>
      </c>
      <c r="AG11" s="15">
        <v>0.11799999999999999</v>
      </c>
      <c r="AH11" s="15">
        <v>0.81299999999999994</v>
      </c>
      <c r="AI11" s="15">
        <v>0.53400000000000003</v>
      </c>
      <c r="AJ11" s="15">
        <f>6545/6698</f>
        <v>0.97715736040609136</v>
      </c>
      <c r="AK11" s="119">
        <v>1.0029999999999999</v>
      </c>
    </row>
    <row r="12" spans="1:37" x14ac:dyDescent="0.25">
      <c r="A12" s="43" t="s">
        <v>33</v>
      </c>
      <c r="B12" s="14">
        <v>0.94</v>
      </c>
      <c r="C12" s="15">
        <v>0.02</v>
      </c>
      <c r="D12" s="15">
        <v>25.63</v>
      </c>
      <c r="E12" s="15">
        <v>25.08</v>
      </c>
      <c r="F12" s="15">
        <v>0.05</v>
      </c>
      <c r="G12" s="16">
        <v>1.06</v>
      </c>
      <c r="H12" s="14">
        <v>0.98</v>
      </c>
      <c r="I12" s="15">
        <v>0.01</v>
      </c>
      <c r="J12" s="15">
        <v>22.2</v>
      </c>
      <c r="K12" s="15">
        <v>21.74</v>
      </c>
      <c r="L12" s="15">
        <v>0.05</v>
      </c>
      <c r="M12" s="16">
        <v>1.02</v>
      </c>
      <c r="N12" s="14">
        <v>0.88</v>
      </c>
      <c r="O12" s="15">
        <v>0.05</v>
      </c>
      <c r="P12" s="15">
        <v>15.2</v>
      </c>
      <c r="Q12" s="15">
        <v>14.87</v>
      </c>
      <c r="R12" s="15">
        <v>7.0000000000000007E-2</v>
      </c>
      <c r="S12" s="16">
        <v>1.1399999999999999</v>
      </c>
      <c r="T12" s="14">
        <v>0.95</v>
      </c>
      <c r="U12" s="15">
        <v>0.02</v>
      </c>
      <c r="V12" s="15">
        <v>18.23</v>
      </c>
      <c r="W12" s="15">
        <v>17.829999999999998</v>
      </c>
      <c r="X12" s="15">
        <v>0.06</v>
      </c>
      <c r="Y12" s="16">
        <v>1.05</v>
      </c>
      <c r="Z12" s="14">
        <v>0.94</v>
      </c>
      <c r="AA12" s="15">
        <v>0.02</v>
      </c>
      <c r="AB12" s="15">
        <v>12.93</v>
      </c>
      <c r="AC12" s="15">
        <v>12.72</v>
      </c>
      <c r="AD12" s="15">
        <v>0.08</v>
      </c>
      <c r="AE12" s="16">
        <v>1.06</v>
      </c>
      <c r="AF12" s="14">
        <v>0.91</v>
      </c>
      <c r="AG12" s="15">
        <v>0.04</v>
      </c>
      <c r="AH12" s="15">
        <v>16.59</v>
      </c>
      <c r="AI12" s="15">
        <v>16.309999999999999</v>
      </c>
      <c r="AJ12" s="15">
        <v>7.0000000000000007E-2</v>
      </c>
      <c r="AK12" s="16">
        <v>1.1000000000000001</v>
      </c>
    </row>
    <row r="13" spans="1:37" x14ac:dyDescent="0.25">
      <c r="A13" s="43" t="s">
        <v>34</v>
      </c>
      <c r="B13" s="14">
        <v>-6.55</v>
      </c>
      <c r="C13" s="15">
        <v>-8.7999999999999995E-2</v>
      </c>
      <c r="D13" s="15">
        <v>29.42</v>
      </c>
      <c r="E13" s="15">
        <v>25.73</v>
      </c>
      <c r="F13" s="15">
        <v>2.7E-2</v>
      </c>
      <c r="G13" s="16">
        <v>0.14000000000000001</v>
      </c>
      <c r="H13" s="14">
        <v>-1.03</v>
      </c>
      <c r="I13" s="15">
        <v>-5.8999999999999997E-2</v>
      </c>
      <c r="J13" s="15">
        <v>47.29</v>
      </c>
      <c r="K13" s="15">
        <v>40.840000000000003</v>
      </c>
      <c r="L13" s="15">
        <v>1.7000000000000001E-2</v>
      </c>
      <c r="M13" s="16">
        <v>0.49</v>
      </c>
      <c r="N13" s="14">
        <v>0.01</v>
      </c>
      <c r="O13" s="15">
        <v>2E-3</v>
      </c>
      <c r="P13" s="15">
        <v>68.819999999999993</v>
      </c>
      <c r="Q13" s="15">
        <v>59.47</v>
      </c>
      <c r="R13" s="15">
        <v>1.0999999999999999E-2</v>
      </c>
      <c r="S13" s="16">
        <v>1.02</v>
      </c>
      <c r="T13" s="14">
        <v>0.04</v>
      </c>
      <c r="U13" s="15">
        <v>7.0000000000000001E-3</v>
      </c>
      <c r="V13" s="15">
        <v>62.14</v>
      </c>
      <c r="W13" s="15">
        <v>53.88</v>
      </c>
      <c r="X13" s="15">
        <v>1.2999999999999999E-2</v>
      </c>
      <c r="Y13" s="16">
        <v>1.05</v>
      </c>
      <c r="Z13" s="14">
        <v>7.0000000000000007E-2</v>
      </c>
      <c r="AA13" s="15">
        <v>1.4E-2</v>
      </c>
      <c r="AB13" s="15">
        <v>86.13</v>
      </c>
      <c r="AC13" s="15">
        <v>75.03</v>
      </c>
      <c r="AD13" s="15">
        <v>8.9999999999999993E-3</v>
      </c>
      <c r="AE13" s="16">
        <v>1.07</v>
      </c>
      <c r="AF13" s="14">
        <v>0.14000000000000001</v>
      </c>
      <c r="AG13" s="15">
        <v>3.5999999999999997E-2</v>
      </c>
      <c r="AH13" s="15">
        <v>55.96</v>
      </c>
      <c r="AI13" s="15">
        <v>49.06</v>
      </c>
      <c r="AJ13" s="15">
        <v>1.4999999999999999E-2</v>
      </c>
      <c r="AK13" s="16">
        <v>1.1599999999999999</v>
      </c>
    </row>
    <row r="14" spans="1:37" x14ac:dyDescent="0.25">
      <c r="A14" s="43" t="s">
        <v>40</v>
      </c>
      <c r="B14" s="14">
        <v>-0.05</v>
      </c>
      <c r="C14" s="15">
        <v>-0.11</v>
      </c>
      <c r="D14" s="15">
        <v>1.28</v>
      </c>
      <c r="E14" s="15">
        <v>0.97</v>
      </c>
      <c r="F14" s="15">
        <v>5.2</v>
      </c>
      <c r="G14" s="16">
        <v>0.957422056770591</v>
      </c>
      <c r="H14" s="14">
        <v>-0.06</v>
      </c>
      <c r="I14" s="15">
        <v>-0.2</v>
      </c>
      <c r="J14" s="15">
        <v>1.24</v>
      </c>
      <c r="K14" s="15">
        <v>0.67</v>
      </c>
      <c r="L14" s="15">
        <v>4.3</v>
      </c>
      <c r="M14" s="16">
        <v>0.94</v>
      </c>
      <c r="N14" s="14">
        <v>1.0189999999999999</v>
      </c>
      <c r="O14" s="15">
        <v>0.05</v>
      </c>
      <c r="P14" s="15">
        <v>2.7</v>
      </c>
      <c r="Q14" s="15">
        <v>1.24</v>
      </c>
      <c r="R14" s="15">
        <v>2.95</v>
      </c>
      <c r="S14" s="16">
        <v>1.02</v>
      </c>
      <c r="T14" s="14">
        <v>-0.27600000000000002</v>
      </c>
      <c r="U14" s="15">
        <v>-0.97699999999999998</v>
      </c>
      <c r="V14" s="15">
        <v>1.3</v>
      </c>
      <c r="W14" s="15">
        <v>0.38</v>
      </c>
      <c r="X14" s="15">
        <v>5.35</v>
      </c>
      <c r="Y14" s="16">
        <v>0.78400000000000003</v>
      </c>
      <c r="Z14" s="14">
        <v>-0.105</v>
      </c>
      <c r="AA14" s="15">
        <v>-0.65500000000000003</v>
      </c>
      <c r="AB14" s="15">
        <v>2.33</v>
      </c>
      <c r="AC14" s="15">
        <v>0.84</v>
      </c>
      <c r="AD14" s="15">
        <v>8.39</v>
      </c>
      <c r="AE14" s="16">
        <v>0.91900000000000004</v>
      </c>
      <c r="AF14" s="14">
        <v>-0.42299999999999999</v>
      </c>
      <c r="AG14" s="15">
        <v>-1.6459999999999999</v>
      </c>
      <c r="AH14" s="15">
        <v>0.68</v>
      </c>
      <c r="AI14" s="15">
        <v>0.45</v>
      </c>
      <c r="AJ14" s="15">
        <v>-4.12</v>
      </c>
      <c r="AK14" s="16">
        <v>0.72</v>
      </c>
    </row>
    <row r="15" spans="1:37" x14ac:dyDescent="0.25">
      <c r="A15" s="5" t="s">
        <v>41</v>
      </c>
      <c r="B15" s="54">
        <v>2.3818290606158237E-2</v>
      </c>
      <c r="C15" s="55">
        <v>8.6969308657017422E-2</v>
      </c>
      <c r="D15" s="55">
        <v>0.98001276358846934</v>
      </c>
      <c r="E15" s="55">
        <v>0.96868168425054657</v>
      </c>
      <c r="F15" s="55">
        <v>3.1366930655630947</v>
      </c>
      <c r="G15" s="56">
        <v>1.027973930425937</v>
      </c>
      <c r="H15" s="54">
        <v>1.9787076224966185E-2</v>
      </c>
      <c r="I15" s="55">
        <v>7.0816497823583374E-2</v>
      </c>
      <c r="J15" s="55">
        <v>1.0619265721555797</v>
      </c>
      <c r="K15" s="55">
        <v>1.0307960741548527</v>
      </c>
      <c r="L15" s="55">
        <v>1.4000702699537388</v>
      </c>
      <c r="M15" s="56">
        <v>1.0224678373660936</v>
      </c>
      <c r="N15" s="54">
        <v>-1.4219587374209277E-2</v>
      </c>
      <c r="O15" s="55">
        <v>-2.6529344580920513E-2</v>
      </c>
      <c r="P15" s="55">
        <v>4.10316882170825</v>
      </c>
      <c r="Q15" s="55">
        <v>3.8650519031141868</v>
      </c>
      <c r="R15" s="55">
        <v>0.85374797122648127</v>
      </c>
      <c r="S15" s="56">
        <v>0.98453063209761671</v>
      </c>
      <c r="T15" s="54">
        <v>-1.5431435140007608E-2</v>
      </c>
      <c r="U15" s="55">
        <v>-1.9050924980601951E-2</v>
      </c>
      <c r="V15" s="55">
        <v>5.1542657647828936</v>
      </c>
      <c r="W15" s="55">
        <v>4.3421339733798821</v>
      </c>
      <c r="X15" s="55">
        <v>0.41230040429615716</v>
      </c>
      <c r="Y15" s="56">
        <v>0.98324958123953099</v>
      </c>
      <c r="Z15" s="54">
        <v>1.9906353588769354E-4</v>
      </c>
      <c r="AA15" s="55">
        <v>4.6941649488744207E-4</v>
      </c>
      <c r="AB15" s="55">
        <v>1.1581691062229127</v>
      </c>
      <c r="AC15" s="55">
        <v>1.0684234197399625</v>
      </c>
      <c r="AD15" s="55">
        <v>1.0525746474273936</v>
      </c>
      <c r="AE15" s="56">
        <v>1.0002943544547083</v>
      </c>
      <c r="AF15" s="85">
        <v>1.5659340659340659E-3</v>
      </c>
      <c r="AG15" s="118">
        <v>1.1620084398507736E-3</v>
      </c>
      <c r="AH15" s="55">
        <v>2.2227609427609427</v>
      </c>
      <c r="AI15" s="55">
        <v>1.5870707070707071</v>
      </c>
      <c r="AJ15" s="55">
        <v>0.19252645098159135</v>
      </c>
      <c r="AK15" s="56">
        <v>1.002589103729411</v>
      </c>
    </row>
    <row r="16" spans="1:37" x14ac:dyDescent="0.25">
      <c r="A16" s="102" t="s">
        <v>42</v>
      </c>
      <c r="B16" s="103">
        <v>-1.43</v>
      </c>
      <c r="C16" s="104">
        <v>-6.7000000000000004E-2</v>
      </c>
      <c r="D16" s="104">
        <v>19.254999999999999</v>
      </c>
      <c r="E16" s="104">
        <v>18.149999999999999</v>
      </c>
      <c r="F16" s="104">
        <v>1.7000000000000001E-2</v>
      </c>
      <c r="G16" s="105">
        <v>0.5</v>
      </c>
      <c r="H16" s="103">
        <v>-1.5740000000000001</v>
      </c>
      <c r="I16" s="104">
        <v>-4.7E-2</v>
      </c>
      <c r="J16" s="104">
        <v>14.266999999999999</v>
      </c>
      <c r="K16" s="104">
        <v>13.337</v>
      </c>
      <c r="L16" s="104">
        <v>0.02</v>
      </c>
      <c r="M16" s="105">
        <v>0.59899999999999998</v>
      </c>
      <c r="N16" s="103">
        <v>1.8756999999999999</v>
      </c>
      <c r="O16" s="104">
        <v>9.9699999999999997E-2</v>
      </c>
      <c r="P16" s="104">
        <v>9.4870000000000001</v>
      </c>
      <c r="Q16" s="104">
        <v>9.4139999999999997</v>
      </c>
      <c r="R16" s="104">
        <v>2.5999999999999999E-2</v>
      </c>
      <c r="S16" s="105">
        <v>0.877</v>
      </c>
      <c r="T16" s="103">
        <v>-0.48709999999999998</v>
      </c>
      <c r="U16" s="104">
        <v>-3.1199999999999999E-2</v>
      </c>
      <c r="V16" s="104">
        <v>7.7839999999999998</v>
      </c>
      <c r="W16" s="104">
        <v>7.72</v>
      </c>
      <c r="X16" s="104">
        <v>2.8000000000000001E-2</v>
      </c>
      <c r="Y16" s="105">
        <v>0.68700000000000006</v>
      </c>
      <c r="Z16" s="103">
        <v>-2.6057999999999999</v>
      </c>
      <c r="AA16" s="104">
        <v>-0.32200000000000001</v>
      </c>
      <c r="AB16" s="104">
        <v>6.048</v>
      </c>
      <c r="AC16" s="104">
        <v>5.6159999999999997</v>
      </c>
      <c r="AD16" s="104">
        <v>3.5000000000000003E-2</v>
      </c>
      <c r="AE16" s="105">
        <v>0.67700000000000005</v>
      </c>
      <c r="AF16" s="103">
        <v>-0.88890000000000002</v>
      </c>
      <c r="AG16" s="104">
        <v>-9.5100000000000004E-2</v>
      </c>
      <c r="AH16" s="104">
        <v>4.0469999999999997</v>
      </c>
      <c r="AI16" s="104">
        <v>3.5529999999999999</v>
      </c>
      <c r="AJ16" s="104">
        <v>3.3000000000000002E-2</v>
      </c>
      <c r="AK16" s="105">
        <v>0.53400000000000003</v>
      </c>
    </row>
    <row r="17" spans="1:38" x14ac:dyDescent="0.25">
      <c r="A17" s="5" t="s">
        <v>43</v>
      </c>
      <c r="B17" s="106"/>
      <c r="C17" s="107"/>
      <c r="D17" s="107"/>
      <c r="E17" s="107"/>
      <c r="F17" s="107"/>
      <c r="G17" s="108"/>
      <c r="H17" s="106"/>
      <c r="I17" s="107"/>
      <c r="J17" s="107"/>
      <c r="K17" s="107"/>
      <c r="L17" s="107"/>
      <c r="M17" s="108"/>
      <c r="N17" s="109"/>
      <c r="O17" s="110"/>
      <c r="P17" s="110"/>
      <c r="Q17" s="110"/>
      <c r="R17" s="110"/>
      <c r="S17" s="111"/>
      <c r="T17" s="54">
        <v>0</v>
      </c>
      <c r="U17" s="55">
        <v>0</v>
      </c>
      <c r="V17" s="55">
        <v>80.66</v>
      </c>
      <c r="W17" s="55">
        <v>80.459999999999994</v>
      </c>
      <c r="X17" s="55">
        <v>1.4735595895816891</v>
      </c>
      <c r="Y17" s="56">
        <v>1</v>
      </c>
      <c r="Z17" s="54">
        <v>0</v>
      </c>
      <c r="AA17" s="55">
        <v>0</v>
      </c>
      <c r="AB17" s="55">
        <v>15.73</v>
      </c>
      <c r="AC17" s="55">
        <v>15.6</v>
      </c>
      <c r="AD17" s="55">
        <v>0.40726124704025257</v>
      </c>
      <c r="AE17" s="56">
        <v>1</v>
      </c>
      <c r="AF17" s="54">
        <v>0</v>
      </c>
      <c r="AG17" s="55">
        <v>0</v>
      </c>
      <c r="AH17" s="55">
        <v>8.06</v>
      </c>
      <c r="AI17" s="55">
        <v>7.93</v>
      </c>
      <c r="AJ17" s="55">
        <v>0.51696921862667722</v>
      </c>
      <c r="AK17" s="56">
        <v>1</v>
      </c>
    </row>
    <row r="18" spans="1:38" s="73" customFormat="1" x14ac:dyDescent="0.25">
      <c r="A18" s="10" t="s">
        <v>44</v>
      </c>
      <c r="B18" s="99">
        <v>-0.15</v>
      </c>
      <c r="C18" s="100">
        <v>-0.08</v>
      </c>
      <c r="D18" s="100">
        <v>0.01</v>
      </c>
      <c r="E18" s="100">
        <v>0.06</v>
      </c>
      <c r="F18" s="100">
        <v>1.49</v>
      </c>
      <c r="G18" s="101">
        <v>1.1499999999999999</v>
      </c>
      <c r="H18" s="99">
        <v>-0.08</v>
      </c>
      <c r="I18" s="100">
        <v>-0.04</v>
      </c>
      <c r="J18" s="100">
        <v>0.02</v>
      </c>
      <c r="K18" s="100">
        <v>0.08</v>
      </c>
      <c r="L18" s="100">
        <v>1.49</v>
      </c>
      <c r="M18" s="101">
        <v>1.1200000000000001</v>
      </c>
      <c r="N18" s="99">
        <v>-0.24</v>
      </c>
      <c r="O18" s="100">
        <v>-0.03</v>
      </c>
      <c r="P18" s="100">
        <v>0.02</v>
      </c>
      <c r="Q18" s="100">
        <v>0.28999999999999998</v>
      </c>
      <c r="R18" s="100">
        <v>1.19</v>
      </c>
      <c r="S18" s="101">
        <v>1.23</v>
      </c>
      <c r="T18" s="99">
        <v>-0.14000000000000001</v>
      </c>
      <c r="U18" s="100">
        <v>-0.03</v>
      </c>
      <c r="V18" s="100">
        <v>0.02</v>
      </c>
      <c r="W18" s="100">
        <v>0.1</v>
      </c>
      <c r="X18" s="100">
        <v>1.1399999999999999</v>
      </c>
      <c r="Y18" s="101">
        <v>1.1399999999999999</v>
      </c>
      <c r="Z18" s="99">
        <v>-0.16</v>
      </c>
      <c r="AA18" s="100">
        <v>-0.12</v>
      </c>
      <c r="AB18" s="100">
        <v>0.02</v>
      </c>
      <c r="AC18" s="100">
        <v>0.06</v>
      </c>
      <c r="AD18" s="100">
        <v>1.19</v>
      </c>
      <c r="AE18" s="101">
        <v>1.1599999999999999</v>
      </c>
      <c r="AF18" s="99">
        <v>-0.01</v>
      </c>
      <c r="AG18" s="100">
        <v>-0.04</v>
      </c>
      <c r="AH18" s="100">
        <v>0.02</v>
      </c>
      <c r="AI18" s="100">
        <v>-0.16</v>
      </c>
      <c r="AJ18" s="100">
        <v>1.79</v>
      </c>
      <c r="AK18" s="101">
        <v>1.01</v>
      </c>
    </row>
    <row r="19" spans="1:38" s="73" customFormat="1" x14ac:dyDescent="0.25">
      <c r="A19" s="5" t="s">
        <v>45</v>
      </c>
      <c r="B19" s="71">
        <v>-0.15</v>
      </c>
      <c r="C19" s="70">
        <v>-0.19</v>
      </c>
      <c r="D19" s="70">
        <v>2.29</v>
      </c>
      <c r="E19" s="70">
        <v>1.28</v>
      </c>
      <c r="F19" s="70">
        <v>0.78</v>
      </c>
      <c r="G19" s="72">
        <v>0.87</v>
      </c>
      <c r="H19" s="71">
        <v>-0.16</v>
      </c>
      <c r="I19" s="70">
        <v>-0.27</v>
      </c>
      <c r="J19" s="70">
        <v>2.04</v>
      </c>
      <c r="K19" s="70">
        <v>1.1499999999999999</v>
      </c>
      <c r="L19" s="70">
        <v>0.96</v>
      </c>
      <c r="M19" s="72">
        <v>0.86</v>
      </c>
      <c r="N19" s="71">
        <v>-0.16</v>
      </c>
      <c r="O19" s="70">
        <v>-0.4</v>
      </c>
      <c r="P19" s="70">
        <v>1.69</v>
      </c>
      <c r="Q19" s="70">
        <v>0.92</v>
      </c>
      <c r="R19" s="70">
        <v>1.47</v>
      </c>
      <c r="S19" s="72">
        <v>0.86</v>
      </c>
      <c r="T19" s="71">
        <v>-0.02</v>
      </c>
      <c r="U19" s="70">
        <v>-0.06</v>
      </c>
      <c r="V19" s="70">
        <v>1.59</v>
      </c>
      <c r="W19" s="70">
        <v>0.94</v>
      </c>
      <c r="X19" s="70">
        <v>1.73</v>
      </c>
      <c r="Y19" s="72">
        <v>0.98</v>
      </c>
      <c r="Z19" s="71">
        <v>-0.16</v>
      </c>
      <c r="AA19" s="70">
        <v>-0.84</v>
      </c>
      <c r="AB19" s="70">
        <v>1.28</v>
      </c>
      <c r="AC19" s="70">
        <v>0.75</v>
      </c>
      <c r="AD19" s="70">
        <v>3.76</v>
      </c>
      <c r="AE19" s="72">
        <v>0.86</v>
      </c>
      <c r="AF19" s="71">
        <v>-0.06</v>
      </c>
      <c r="AG19" s="70">
        <v>-0.63</v>
      </c>
      <c r="AH19" s="70">
        <v>1.1399999999999999</v>
      </c>
      <c r="AI19" s="70">
        <v>0.75</v>
      </c>
      <c r="AJ19" s="70">
        <v>7.35</v>
      </c>
      <c r="AK19" s="72">
        <v>0.94</v>
      </c>
    </row>
    <row r="20" spans="1:38" s="80" customFormat="1" x14ac:dyDescent="0.25">
      <c r="A20" s="98" t="s">
        <v>35</v>
      </c>
      <c r="B20" s="77">
        <v>-0.01</v>
      </c>
      <c r="C20" s="78">
        <v>-0.02</v>
      </c>
      <c r="D20" s="78">
        <v>1.58</v>
      </c>
      <c r="E20" s="78">
        <v>1.53</v>
      </c>
      <c r="F20" s="78">
        <v>1.56</v>
      </c>
      <c r="G20" s="79">
        <v>0.99</v>
      </c>
      <c r="H20" s="77">
        <v>-0.02</v>
      </c>
      <c r="I20" s="78">
        <v>-0.01</v>
      </c>
      <c r="J20" s="78">
        <v>34.07</v>
      </c>
      <c r="K20" s="78">
        <v>33.18</v>
      </c>
      <c r="L20" s="78">
        <v>0.03</v>
      </c>
      <c r="M20" s="79">
        <v>0.99</v>
      </c>
      <c r="N20" s="77">
        <v>0.45</v>
      </c>
      <c r="O20" s="78">
        <v>0.04</v>
      </c>
      <c r="P20" s="78">
        <v>34.01</v>
      </c>
      <c r="Q20" s="78">
        <v>33.17</v>
      </c>
      <c r="R20" s="78">
        <v>0.03</v>
      </c>
      <c r="S20" s="79">
        <v>1.87</v>
      </c>
      <c r="T20" s="77">
        <v>0.09</v>
      </c>
      <c r="U20" s="78">
        <v>0.01</v>
      </c>
      <c r="V20" s="78">
        <v>39.229999999999997</v>
      </c>
      <c r="W20" s="78">
        <v>39.01</v>
      </c>
      <c r="X20" s="78">
        <v>0.02</v>
      </c>
      <c r="Y20" s="79">
        <v>1.08</v>
      </c>
      <c r="Z20" s="77">
        <v>0.11</v>
      </c>
      <c r="AA20" s="78">
        <v>0.01</v>
      </c>
      <c r="AB20" s="78">
        <v>25.79</v>
      </c>
      <c r="AC20" s="78">
        <v>25.7</v>
      </c>
      <c r="AD20" s="78">
        <v>0.04</v>
      </c>
      <c r="AE20" s="79">
        <v>1.1000000000000001</v>
      </c>
      <c r="AF20" s="77">
        <v>-0.47</v>
      </c>
      <c r="AG20" s="78">
        <v>-0.03</v>
      </c>
      <c r="AH20" s="78">
        <v>45.93</v>
      </c>
      <c r="AI20" s="78">
        <v>45.8</v>
      </c>
      <c r="AJ20" s="78">
        <v>0.02</v>
      </c>
      <c r="AK20" s="79">
        <v>0.68</v>
      </c>
    </row>
    <row r="21" spans="1:38" s="73" customFormat="1" x14ac:dyDescent="0.25">
      <c r="A21" s="5" t="s">
        <v>46</v>
      </c>
      <c r="B21" s="71">
        <v>-0.15</v>
      </c>
      <c r="C21" s="70">
        <v>-0.03</v>
      </c>
      <c r="D21" s="70">
        <v>4.6900000000000004</v>
      </c>
      <c r="E21" s="70">
        <v>3.87</v>
      </c>
      <c r="F21" s="70">
        <v>0.03</v>
      </c>
      <c r="G21" s="72">
        <v>0.87</v>
      </c>
      <c r="H21" s="71">
        <v>-0.38</v>
      </c>
      <c r="I21" s="70">
        <v>-0.09</v>
      </c>
      <c r="J21" s="70">
        <v>1.99</v>
      </c>
      <c r="K21" s="70">
        <v>1.55</v>
      </c>
      <c r="L21" s="70">
        <v>0.04</v>
      </c>
      <c r="M21" s="72">
        <v>0.72</v>
      </c>
      <c r="N21" s="71">
        <v>-0.22</v>
      </c>
      <c r="O21" s="70">
        <v>-0.1</v>
      </c>
      <c r="P21" s="70">
        <v>0.74</v>
      </c>
      <c r="Q21" s="70">
        <v>0.48</v>
      </c>
      <c r="R21" s="70">
        <v>0.08</v>
      </c>
      <c r="S21" s="72">
        <v>0.81</v>
      </c>
      <c r="T21" s="71">
        <v>-0.12</v>
      </c>
      <c r="U21" s="70">
        <v>-7.0000000000000007E-2</v>
      </c>
      <c r="V21" s="70">
        <v>0.64</v>
      </c>
      <c r="W21" s="70">
        <v>0.46</v>
      </c>
      <c r="X21" s="70">
        <v>0.13</v>
      </c>
      <c r="Y21" s="72">
        <v>0.88</v>
      </c>
      <c r="Z21" s="71">
        <v>0.06</v>
      </c>
      <c r="AA21" s="70">
        <v>0.04</v>
      </c>
      <c r="AB21" s="70">
        <v>2.88</v>
      </c>
      <c r="AC21" s="70">
        <v>2.65</v>
      </c>
      <c r="AD21" s="70">
        <v>0.1</v>
      </c>
      <c r="AE21" s="72">
        <v>1.05</v>
      </c>
      <c r="AF21" s="71">
        <v>-0.14000000000000001</v>
      </c>
      <c r="AG21" s="70">
        <v>-0.21</v>
      </c>
      <c r="AH21" s="70">
        <v>0.84</v>
      </c>
      <c r="AI21" s="70">
        <v>0.75</v>
      </c>
      <c r="AJ21" s="70">
        <v>0.36</v>
      </c>
      <c r="AK21" s="72">
        <v>0.88</v>
      </c>
    </row>
    <row r="22" spans="1:38" s="73" customFormat="1" x14ac:dyDescent="0.25">
      <c r="A22" s="5" t="s">
        <v>36</v>
      </c>
      <c r="B22" s="112">
        <v>-0.48</v>
      </c>
      <c r="C22" s="55">
        <v>-0.26829999999999998</v>
      </c>
      <c r="D22" s="55">
        <v>3.2222</v>
      </c>
      <c r="E22" s="55">
        <v>2</v>
      </c>
      <c r="F22" s="55">
        <v>0.2616</v>
      </c>
      <c r="G22" s="56">
        <v>0.67330000000000001</v>
      </c>
      <c r="H22" s="54">
        <v>-0.7077</v>
      </c>
      <c r="I22" s="55">
        <v>-0.59740000000000004</v>
      </c>
      <c r="J22" s="55">
        <v>2.3809999999999998</v>
      </c>
      <c r="K22" s="55">
        <v>1.0713999999999999</v>
      </c>
      <c r="L22" s="55">
        <v>0.34150000000000003</v>
      </c>
      <c r="M22" s="56">
        <v>0.58560000000000001</v>
      </c>
      <c r="N22" s="54">
        <v>0.58819999999999995</v>
      </c>
      <c r="O22" s="55">
        <v>0.66959999999999997</v>
      </c>
      <c r="P22" s="55">
        <v>10.9048</v>
      </c>
      <c r="Q22" s="55">
        <v>8.2857000000000003</v>
      </c>
      <c r="R22" s="55">
        <v>8.4400000000000003E-2</v>
      </c>
      <c r="S22" s="56">
        <v>2.4285999999999999</v>
      </c>
      <c r="T22" s="54">
        <v>-1.4</v>
      </c>
      <c r="U22" s="55">
        <v>-0.38890000000000002</v>
      </c>
      <c r="V22" s="55">
        <v>10.8</v>
      </c>
      <c r="W22" s="55">
        <v>7.1333000000000002</v>
      </c>
      <c r="X22" s="55">
        <v>8.2799999999999999E-2</v>
      </c>
      <c r="Y22" s="56">
        <v>0.41670000000000001</v>
      </c>
      <c r="Z22" s="54">
        <v>-1.6153999999999999</v>
      </c>
      <c r="AA22" s="55">
        <v>-1.0769</v>
      </c>
      <c r="AB22" s="55">
        <v>6.0769000000000002</v>
      </c>
      <c r="AC22" s="55">
        <v>1.8462000000000001</v>
      </c>
      <c r="AD22" s="55">
        <v>0.1368</v>
      </c>
      <c r="AE22" s="56">
        <v>0.38229999999999997</v>
      </c>
      <c r="AF22" s="54">
        <v>-1.0435000000000001</v>
      </c>
      <c r="AG22" s="55">
        <v>-1.6</v>
      </c>
      <c r="AH22" s="55">
        <v>1.3509</v>
      </c>
      <c r="AI22" s="55">
        <v>0.38600000000000001</v>
      </c>
      <c r="AJ22" s="55">
        <v>0.62639999999999996</v>
      </c>
      <c r="AK22" s="56">
        <v>0.4894</v>
      </c>
      <c r="AL22" s="113"/>
    </row>
    <row r="23" spans="1:38" s="73" customFormat="1" x14ac:dyDescent="0.25">
      <c r="A23" s="5" t="s">
        <v>48</v>
      </c>
      <c r="B23" s="54">
        <v>-3.6378142649585207E-2</v>
      </c>
      <c r="C23" s="55">
        <v>-0.18</v>
      </c>
      <c r="D23" s="55">
        <v>0.54268436500864825</v>
      </c>
      <c r="E23" s="55">
        <v>0.50900859583835634</v>
      </c>
      <c r="F23" s="55">
        <v>6.6240765789199871</v>
      </c>
      <c r="G23" s="56">
        <v>0.97988503095674773</v>
      </c>
      <c r="H23" s="54">
        <v>-9.2733705429278307E-2</v>
      </c>
      <c r="I23" s="55">
        <v>-1</v>
      </c>
      <c r="J23" s="55">
        <v>0.63684391443454347</v>
      </c>
      <c r="K23" s="56">
        <v>0.61140696475316636</v>
      </c>
      <c r="L23" s="55">
        <v>15.782646358189561</v>
      </c>
      <c r="M23" s="56">
        <v>0.94892052006717431</v>
      </c>
      <c r="N23" s="54">
        <v>-0.58760963490855256</v>
      </c>
      <c r="O23" s="55">
        <v>-6.6</v>
      </c>
      <c r="P23" s="55">
        <v>0.56551415291011009</v>
      </c>
      <c r="Q23" s="55">
        <v>0.54288082112101133</v>
      </c>
      <c r="R23" s="55">
        <v>-21.683021112102288</v>
      </c>
      <c r="S23" s="56">
        <v>0.74823053738099199</v>
      </c>
      <c r="T23" s="54">
        <v>-0.24182669318311195</v>
      </c>
      <c r="U23" s="55">
        <v>-0.71</v>
      </c>
      <c r="V23" s="55">
        <v>0.55115005058313771</v>
      </c>
      <c r="W23" s="55">
        <v>0.5359903796598523</v>
      </c>
      <c r="X23" s="55">
        <v>-5.8513949477528664</v>
      </c>
      <c r="Y23" s="56">
        <v>0.88050755786954826</v>
      </c>
      <c r="Z23" s="85">
        <v>4.865848078634355E-3</v>
      </c>
      <c r="AA23" s="55">
        <v>0.06</v>
      </c>
      <c r="AB23" s="55">
        <v>0.70106718461385398</v>
      </c>
      <c r="AC23" s="55">
        <v>0.68458573597670969</v>
      </c>
      <c r="AD23" s="55">
        <v>19.372686758818642</v>
      </c>
      <c r="AE23" s="56">
        <v>1.0026764944758968</v>
      </c>
      <c r="AF23" s="54">
        <v>-0.11550483124887678</v>
      </c>
      <c r="AG23" s="55">
        <v>-3.86</v>
      </c>
      <c r="AH23" s="55">
        <v>0.79644400559110551</v>
      </c>
      <c r="AI23" s="55">
        <v>0.84290097917528617</v>
      </c>
      <c r="AJ23" s="55">
        <v>-81.052961521833112</v>
      </c>
      <c r="AK23" s="56">
        <v>0.94619195874978412</v>
      </c>
    </row>
  </sheetData>
  <sheetProtection algorithmName="SHA-512" hashValue="JQ0BMIEPjjDQwm0wsHNdjkho4DArleF7Za4HWfW60Jt4SzzjAAZg57DmKOd0a3mRc8m8B5QdbP0YVmEXku6QLQ==" saltValue="gDfFXpXNZXxt4uOiY+5BAQ==" spinCount="100000" sheet="1" objects="1" scenarios="1"/>
  <mergeCells count="31">
    <mergeCell ref="B1:G1"/>
    <mergeCell ref="N2:O2"/>
    <mergeCell ref="P2:Q2"/>
    <mergeCell ref="T2:U2"/>
    <mergeCell ref="V2:W2"/>
    <mergeCell ref="B2:C2"/>
    <mergeCell ref="D2:E2"/>
    <mergeCell ref="L2:L3"/>
    <mergeCell ref="M2:M3"/>
    <mergeCell ref="H1:M1"/>
    <mergeCell ref="R2:R3"/>
    <mergeCell ref="S2:S3"/>
    <mergeCell ref="N1:S1"/>
    <mergeCell ref="A2:A3"/>
    <mergeCell ref="H2:I2"/>
    <mergeCell ref="J2:K2"/>
    <mergeCell ref="F2:F3"/>
    <mergeCell ref="G2:G3"/>
    <mergeCell ref="AJ2:AJ3"/>
    <mergeCell ref="AK2:AK3"/>
    <mergeCell ref="AF1:AK1"/>
    <mergeCell ref="X2:X3"/>
    <mergeCell ref="Y2:Y3"/>
    <mergeCell ref="T1:Y1"/>
    <mergeCell ref="AD2:AD3"/>
    <mergeCell ref="AE2:AE3"/>
    <mergeCell ref="Z1:AE1"/>
    <mergeCell ref="Z2:AA2"/>
    <mergeCell ref="AB2:AC2"/>
    <mergeCell ref="AF2:AG2"/>
    <mergeCell ref="AH2:A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A16" sqref="A16"/>
    </sheetView>
  </sheetViews>
  <sheetFormatPr defaultColWidth="9.125" defaultRowHeight="14.3" x14ac:dyDescent="0.25"/>
  <cols>
    <col min="1" max="1" width="53.875" style="51" bestFit="1" customWidth="1"/>
    <col min="2" max="2" width="31.875" style="51" bestFit="1" customWidth="1"/>
    <col min="3" max="3" width="37.375" style="51" customWidth="1"/>
    <col min="4" max="16384" width="9.125" style="51"/>
  </cols>
  <sheetData>
    <row r="1" spans="1:3" x14ac:dyDescent="0.25">
      <c r="A1" s="25" t="s">
        <v>4</v>
      </c>
      <c r="B1" s="25" t="s">
        <v>17</v>
      </c>
      <c r="C1" s="25" t="s">
        <v>18</v>
      </c>
    </row>
    <row r="2" spans="1:3" x14ac:dyDescent="0.25">
      <c r="A2" s="25" t="s">
        <v>24</v>
      </c>
      <c r="B2" s="49">
        <v>10389</v>
      </c>
      <c r="C2" s="49">
        <v>1345</v>
      </c>
    </row>
    <row r="3" spans="1:3" x14ac:dyDescent="0.25">
      <c r="A3" s="25" t="s">
        <v>25</v>
      </c>
      <c r="B3" s="49">
        <v>68</v>
      </c>
      <c r="C3" s="49">
        <v>44</v>
      </c>
    </row>
    <row r="4" spans="1:3" ht="14.95" customHeight="1" x14ac:dyDescent="0.25">
      <c r="A4" s="50" t="s">
        <v>26</v>
      </c>
      <c r="B4" s="49">
        <v>4949</v>
      </c>
      <c r="C4" s="49">
        <v>333</v>
      </c>
    </row>
    <row r="5" spans="1:3" x14ac:dyDescent="0.25">
      <c r="A5" s="25" t="s">
        <v>27</v>
      </c>
      <c r="B5" s="49">
        <v>1612</v>
      </c>
      <c r="C5" s="49">
        <v>265</v>
      </c>
    </row>
    <row r="6" spans="1:3" x14ac:dyDescent="0.25">
      <c r="A6" s="25" t="s">
        <v>28</v>
      </c>
      <c r="B6" s="49">
        <v>1214</v>
      </c>
      <c r="C6" s="49">
        <v>226</v>
      </c>
    </row>
    <row r="7" spans="1:3" x14ac:dyDescent="0.25">
      <c r="A7" s="25" t="s">
        <v>29</v>
      </c>
      <c r="B7" s="49">
        <v>362</v>
      </c>
      <c r="C7" s="49">
        <v>58</v>
      </c>
    </row>
    <row r="8" spans="1:3" ht="20.05" customHeight="1" x14ac:dyDescent="0.25">
      <c r="A8" s="52" t="s">
        <v>31</v>
      </c>
      <c r="B8" s="49">
        <v>1197</v>
      </c>
      <c r="C8" s="49">
        <v>56</v>
      </c>
    </row>
    <row r="9" spans="1:3" x14ac:dyDescent="0.25">
      <c r="A9" s="50" t="s">
        <v>32</v>
      </c>
      <c r="B9" s="49">
        <v>123</v>
      </c>
      <c r="C9" s="49">
        <v>26</v>
      </c>
    </row>
    <row r="10" spans="1:3" x14ac:dyDescent="0.25">
      <c r="A10" s="50" t="s">
        <v>33</v>
      </c>
      <c r="B10" s="49">
        <v>108</v>
      </c>
      <c r="C10" s="49">
        <v>0</v>
      </c>
    </row>
    <row r="11" spans="1:3" x14ac:dyDescent="0.25">
      <c r="A11" s="25" t="s">
        <v>34</v>
      </c>
      <c r="B11" s="49">
        <v>7</v>
      </c>
      <c r="C11" s="49">
        <v>0</v>
      </c>
    </row>
    <row r="12" spans="1:3" s="31" customFormat="1" ht="14.3" customHeight="1" x14ac:dyDescent="0.25">
      <c r="A12" s="32" t="s">
        <v>39</v>
      </c>
      <c r="B12" s="74">
        <v>57</v>
      </c>
      <c r="C12" s="74">
        <v>108</v>
      </c>
    </row>
    <row r="13" spans="1:3" s="1" customFormat="1" x14ac:dyDescent="0.25">
      <c r="A13" s="6" t="s">
        <v>41</v>
      </c>
      <c r="B13" s="7">
        <v>451</v>
      </c>
      <c r="C13" s="7">
        <v>283</v>
      </c>
    </row>
    <row r="14" spans="1:3" s="68" customFormat="1" x14ac:dyDescent="0.25">
      <c r="A14" s="69" t="s">
        <v>42</v>
      </c>
      <c r="B14" s="7">
        <v>60</v>
      </c>
      <c r="C14" s="75">
        <v>0</v>
      </c>
    </row>
    <row r="15" spans="1:3" x14ac:dyDescent="0.25">
      <c r="A15" s="6" t="s">
        <v>43</v>
      </c>
      <c r="B15" s="7">
        <v>95</v>
      </c>
      <c r="C15" s="7">
        <v>147</v>
      </c>
    </row>
    <row r="16" spans="1:3" x14ac:dyDescent="0.25">
      <c r="A16" s="6" t="s">
        <v>44</v>
      </c>
      <c r="B16" s="7">
        <v>59</v>
      </c>
      <c r="C16" s="7">
        <v>0</v>
      </c>
    </row>
    <row r="17" spans="1:3" s="1" customFormat="1" x14ac:dyDescent="0.25">
      <c r="A17" s="6" t="s">
        <v>45</v>
      </c>
      <c r="B17" s="7">
        <v>68</v>
      </c>
      <c r="C17" s="7">
        <v>9</v>
      </c>
    </row>
    <row r="18" spans="1:3" s="68" customFormat="1" x14ac:dyDescent="0.25">
      <c r="A18" s="76" t="s">
        <v>35</v>
      </c>
      <c r="B18" s="6">
        <v>25</v>
      </c>
      <c r="C18" s="6">
        <v>3</v>
      </c>
    </row>
    <row r="19" spans="1:3" x14ac:dyDescent="0.25">
      <c r="A19" s="6" t="s">
        <v>46</v>
      </c>
      <c r="B19" s="6">
        <v>110</v>
      </c>
      <c r="C19" s="6">
        <v>7</v>
      </c>
    </row>
    <row r="20" spans="1:3" x14ac:dyDescent="0.25">
      <c r="A20" s="6" t="s">
        <v>36</v>
      </c>
      <c r="B20" s="6">
        <v>0</v>
      </c>
      <c r="C20" s="6">
        <v>0</v>
      </c>
    </row>
    <row r="21" spans="1:3" x14ac:dyDescent="0.25">
      <c r="A21" s="6" t="s">
        <v>48</v>
      </c>
      <c r="B21" s="7">
        <v>6990.5910000000003</v>
      </c>
      <c r="C21" s="7">
        <v>706.47400000000005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финансови </vt:lpstr>
      <vt:lpstr>показатели</vt:lpstr>
      <vt:lpstr>заети лица</vt:lpstr>
    </vt:vector>
  </TitlesOfParts>
  <Company>MTC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Vasilka Terzijska</dc:creator>
  <cp:lastModifiedBy>Kostadin Vardev</cp:lastModifiedBy>
  <dcterms:created xsi:type="dcterms:W3CDTF">2026-04-16T08:26:58Z</dcterms:created>
  <dcterms:modified xsi:type="dcterms:W3CDTF">2026-05-07T08:56:44Z</dcterms:modified>
</cp:coreProperties>
</file>